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drawings/drawing16.xml" ContentType="application/vnd.openxmlformats-officedocument.drawingml.chartshapes+xml"/>
  <Override PartName="/xl/charts/chart15.xml" ContentType="application/vnd.openxmlformats-officedocument.drawingml.chart+xml"/>
  <Override PartName="/xl/drawings/drawing17.xml" ContentType="application/vnd.openxmlformats-officedocument.drawingml.chartshapes+xml"/>
  <Override PartName="/xl/charts/chart16.xml" ContentType="application/vnd.openxmlformats-officedocument.drawingml.chart+xml"/>
  <Override PartName="/xl/drawings/drawing18.xml" ContentType="application/vnd.openxmlformats-officedocument.drawingml.chartshapes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charts/chart18.xml" ContentType="application/vnd.openxmlformats-officedocument.drawingml.chart+xml"/>
  <Override PartName="/xl/drawings/drawing20.xml" ContentType="application/vnd.openxmlformats-officedocument.drawingml.chartshapes+xml"/>
  <Override PartName="/xl/charts/chart19.xml" ContentType="application/vnd.openxmlformats-officedocument.drawingml.chart+xml"/>
  <Override PartName="/xl/drawings/drawing21.xml" ContentType="application/vnd.openxmlformats-officedocument.drawingml.chartshapes+xml"/>
  <Override PartName="/xl/charts/chart20.xml" ContentType="application/vnd.openxmlformats-officedocument.drawingml.chart+xml"/>
  <Override PartName="/xl/drawings/drawing22.xml" ContentType="application/vnd.openxmlformats-officedocument.drawingml.chartshapes+xml"/>
  <Override PartName="/xl/charts/chart21.xml" ContentType="application/vnd.openxmlformats-officedocument.drawingml.chart+xml"/>
  <Override PartName="/xl/drawings/drawing23.xml" ContentType="application/vnd.openxmlformats-officedocument.drawingml.chartshapes+xml"/>
  <Override PartName="/xl/charts/chart22.xml" ContentType="application/vnd.openxmlformats-officedocument.drawingml.chart+xml"/>
  <Override PartName="/xl/drawings/drawing24.xml" ContentType="application/vnd.openxmlformats-officedocument.drawingml.chartshapes+xml"/>
  <Override PartName="/xl/charts/chart23.xml" ContentType="application/vnd.openxmlformats-officedocument.drawingml.chart+xml"/>
  <Override PartName="/xl/drawings/drawing25.xml" ContentType="application/vnd.openxmlformats-officedocument.drawingml.chartshapes+xml"/>
  <Override PartName="/xl/charts/chart24.xml" ContentType="application/vnd.openxmlformats-officedocument.drawingml.chart+xml"/>
  <Override PartName="/xl/drawings/drawing26.xml" ContentType="application/vnd.openxmlformats-officedocument.drawingml.chartshapes+xml"/>
  <Override PartName="/xl/charts/chart25.xml" ContentType="application/vnd.openxmlformats-officedocument.drawingml.chart+xml"/>
  <Override PartName="/xl/drawings/drawing27.xml" ContentType="application/vnd.openxmlformats-officedocument.drawingml.chartshapes+xml"/>
  <Override PartName="/xl/charts/chart26.xml" ContentType="application/vnd.openxmlformats-officedocument.drawingml.chart+xml"/>
  <Override PartName="/xl/drawings/drawing28.xml" ContentType="application/vnd.openxmlformats-officedocument.drawingml.chartshapes+xml"/>
  <Override PartName="/xl/charts/chart27.xml" ContentType="application/vnd.openxmlformats-officedocument.drawingml.chart+xml"/>
  <Override PartName="/xl/drawings/drawing29.xml" ContentType="application/vnd.openxmlformats-officedocument.drawingml.chartshapes+xml"/>
  <Override PartName="/xl/charts/chart28.xml" ContentType="application/vnd.openxmlformats-officedocument.drawingml.chart+xml"/>
  <Override PartName="/xl/drawings/drawing30.xml" ContentType="application/vnd.openxmlformats-officedocument.drawingml.chartshapes+xml"/>
  <Override PartName="/xl/charts/chart29.xml" ContentType="application/vnd.openxmlformats-officedocument.drawingml.chart+xml"/>
  <Override PartName="/xl/drawings/drawing31.xml" ContentType="application/vnd.openxmlformats-officedocument.drawingml.chartshapes+xml"/>
  <Override PartName="/xl/charts/chart30.xml" ContentType="application/vnd.openxmlformats-officedocument.drawingml.chart+xml"/>
  <Override PartName="/xl/drawings/drawing32.xml" ContentType="application/vnd.openxmlformats-officedocument.drawingml.chartshapes+xml"/>
  <Override PartName="/xl/charts/chart31.xml" ContentType="application/vnd.openxmlformats-officedocument.drawingml.chart+xml"/>
  <Override PartName="/xl/drawings/drawing33.xml" ContentType="application/vnd.openxmlformats-officedocument.drawingml.chartshapes+xml"/>
  <Override PartName="/xl/charts/chart32.xml" ContentType="application/vnd.openxmlformats-officedocument.drawingml.chart+xml"/>
  <Override PartName="/xl/drawings/drawing34.xml" ContentType="application/vnd.openxmlformats-officedocument.drawingml.chartshapes+xml"/>
  <Override PartName="/xl/charts/chart33.xml" ContentType="application/vnd.openxmlformats-officedocument.drawingml.chart+xml"/>
  <Override PartName="/xl/drawings/drawing35.xml" ContentType="application/vnd.openxmlformats-officedocument.drawingml.chartshapes+xml"/>
  <Override PartName="/xl/charts/chart34.xml" ContentType="application/vnd.openxmlformats-officedocument.drawingml.chart+xml"/>
  <Override PartName="/xl/drawings/drawing36.xml" ContentType="application/vnd.openxmlformats-officedocument.drawingml.chartshapes+xml"/>
  <Override PartName="/xl/charts/chart35.xml" ContentType="application/vnd.openxmlformats-officedocument.drawingml.chart+xml"/>
  <Override PartName="/xl/drawings/drawing37.xml" ContentType="application/vnd.openxmlformats-officedocument.drawingml.chartshapes+xml"/>
  <Override PartName="/xl/charts/chart36.xml" ContentType="application/vnd.openxmlformats-officedocument.drawingml.chart+xml"/>
  <Override PartName="/xl/drawings/drawing38.xml" ContentType="application/vnd.openxmlformats-officedocument.drawingml.chartshapes+xml"/>
  <Override PartName="/xl/charts/chart37.xml" ContentType="application/vnd.openxmlformats-officedocument.drawingml.chart+xml"/>
  <Override PartName="/xl/drawings/drawing39.xml" ContentType="application/vnd.openxmlformats-officedocument.drawingml.chartshapes+xml"/>
  <Override PartName="/xl/charts/chart38.xml" ContentType="application/vnd.openxmlformats-officedocument.drawingml.chart+xml"/>
  <Override PartName="/xl/drawings/drawing40.xml" ContentType="application/vnd.openxmlformats-officedocument.drawingml.chartshapes+xml"/>
  <Override PartName="/xl/charts/chart39.xml" ContentType="application/vnd.openxmlformats-officedocument.drawingml.chart+xml"/>
  <Override PartName="/xl/drawings/drawing41.xml" ContentType="application/vnd.openxmlformats-officedocument.drawingml.chartshapes+xml"/>
  <Override PartName="/xl/charts/chart40.xml" ContentType="application/vnd.openxmlformats-officedocument.drawingml.chart+xml"/>
  <Override PartName="/xl/drawings/drawing42.xml" ContentType="application/vnd.openxmlformats-officedocument.drawingml.chartshapes+xml"/>
  <Override PartName="/xl/charts/chart41.xml" ContentType="application/vnd.openxmlformats-officedocument.drawingml.chart+xml"/>
  <Override PartName="/xl/drawings/drawing43.xml" ContentType="application/vnd.openxmlformats-officedocument.drawingml.chartshapes+xml"/>
  <Override PartName="/xl/charts/chart42.xml" ContentType="application/vnd.openxmlformats-officedocument.drawingml.chart+xml"/>
  <Override PartName="/xl/drawings/drawing44.xml" ContentType="application/vnd.openxmlformats-officedocument.drawingml.chartshapes+xml"/>
  <Override PartName="/xl/charts/chart43.xml" ContentType="application/vnd.openxmlformats-officedocument.drawingml.chart+xml"/>
  <Override PartName="/xl/drawings/drawing45.xml" ContentType="application/vnd.openxmlformats-officedocument.drawingml.chartshapes+xml"/>
  <Override PartName="/xl/charts/chart44.xml" ContentType="application/vnd.openxmlformats-officedocument.drawingml.chart+xml"/>
  <Override PartName="/xl/drawings/drawing46.xml" ContentType="application/vnd.openxmlformats-officedocument.drawingml.chartshapes+xml"/>
  <Override PartName="/xl/charts/chart45.xml" ContentType="application/vnd.openxmlformats-officedocument.drawingml.chart+xml"/>
  <Override PartName="/xl/drawings/drawing47.xml" ContentType="application/vnd.openxmlformats-officedocument.drawingml.chartshapes+xml"/>
  <Override PartName="/xl/charts/chart46.xml" ContentType="application/vnd.openxmlformats-officedocument.drawingml.chart+xml"/>
  <Override PartName="/xl/drawings/drawing48.xml" ContentType="application/vnd.openxmlformats-officedocument.drawingml.chartshapes+xml"/>
  <Override PartName="/xl/charts/chart47.xml" ContentType="application/vnd.openxmlformats-officedocument.drawingml.chart+xml"/>
  <Override PartName="/xl/drawings/drawing49.xml" ContentType="application/vnd.openxmlformats-officedocument.drawingml.chartshapes+xml"/>
  <Override PartName="/xl/charts/chart48.xml" ContentType="application/vnd.openxmlformats-officedocument.drawingml.chart+xml"/>
  <Override PartName="/xl/drawings/drawing50.xml" ContentType="application/vnd.openxmlformats-officedocument.drawingml.chartshapes+xml"/>
  <Override PartName="/xl/charts/chart49.xml" ContentType="application/vnd.openxmlformats-officedocument.drawingml.chart+xml"/>
  <Override PartName="/xl/drawings/drawing51.xml" ContentType="application/vnd.openxmlformats-officedocument.drawingml.chartshapes+xml"/>
  <Override PartName="/xl/charts/chart50.xml" ContentType="application/vnd.openxmlformats-officedocument.drawingml.chart+xml"/>
  <Override PartName="/xl/drawings/drawing52.xml" ContentType="application/vnd.openxmlformats-officedocument.drawingml.chartshapes+xml"/>
  <Override PartName="/xl/charts/chart51.xml" ContentType="application/vnd.openxmlformats-officedocument.drawingml.chart+xml"/>
  <Override PartName="/xl/drawings/drawing53.xml" ContentType="application/vnd.openxmlformats-officedocument.drawingml.chartshapes+xml"/>
  <Override PartName="/xl/charts/chart52.xml" ContentType="application/vnd.openxmlformats-officedocument.drawingml.chart+xml"/>
  <Override PartName="/xl/drawings/drawing54.xml" ContentType="application/vnd.openxmlformats-officedocument.drawingml.chartshapes+xml"/>
  <Override PartName="/xl/charts/chart53.xml" ContentType="application/vnd.openxmlformats-officedocument.drawingml.chart+xml"/>
  <Override PartName="/xl/drawings/drawing55.xml" ContentType="application/vnd.openxmlformats-officedocument.drawingml.chartshapes+xml"/>
  <Override PartName="/xl/charts/chart54.xml" ContentType="application/vnd.openxmlformats-officedocument.drawingml.chart+xml"/>
  <Override PartName="/xl/drawings/drawing56.xml" ContentType="application/vnd.openxmlformats-officedocument.drawingml.chartshapes+xml"/>
  <Override PartName="/xl/charts/chart55.xml" ContentType="application/vnd.openxmlformats-officedocument.drawingml.chart+xml"/>
  <Override PartName="/xl/drawings/drawing57.xml" ContentType="application/vnd.openxmlformats-officedocument.drawingml.chartshapes+xml"/>
  <Override PartName="/xl/charts/chart56.xml" ContentType="application/vnd.openxmlformats-officedocument.drawingml.chart+xml"/>
  <Override PartName="/xl/drawings/drawing58.xml" ContentType="application/vnd.openxmlformats-officedocument.drawingml.chartshapes+xml"/>
  <Override PartName="/xl/charts/chart57.xml" ContentType="application/vnd.openxmlformats-officedocument.drawingml.chart+xml"/>
  <Override PartName="/xl/drawings/drawing59.xml" ContentType="application/vnd.openxmlformats-officedocument.drawingml.chartshapes+xml"/>
  <Override PartName="/xl/charts/chart58.xml" ContentType="application/vnd.openxmlformats-officedocument.drawingml.chart+xml"/>
  <Override PartName="/xl/drawings/drawing60.xml" ContentType="application/vnd.openxmlformats-officedocument.drawingml.chartshapes+xml"/>
  <Override PartName="/xl/charts/chart59.xml" ContentType="application/vnd.openxmlformats-officedocument.drawingml.chart+xml"/>
  <Override PartName="/xl/drawings/drawing61.xml" ContentType="application/vnd.openxmlformats-officedocument.drawingml.chartshapes+xml"/>
  <Override PartName="/xl/charts/chart60.xml" ContentType="application/vnd.openxmlformats-officedocument.drawingml.chart+xml"/>
  <Override PartName="/xl/drawings/drawing62.xml" ContentType="application/vnd.openxmlformats-officedocument.drawingml.chartshapes+xml"/>
  <Override PartName="/xl/charts/chart61.xml" ContentType="application/vnd.openxmlformats-officedocument.drawingml.chart+xml"/>
  <Override PartName="/xl/drawings/drawing63.xml" ContentType="application/vnd.openxmlformats-officedocument.drawingml.chartshapes+xml"/>
  <Override PartName="/xl/charts/chart62.xml" ContentType="application/vnd.openxmlformats-officedocument.drawingml.chart+xml"/>
  <Override PartName="/xl/drawings/drawing64.xml" ContentType="application/vnd.openxmlformats-officedocument.drawingml.chartshapes+xml"/>
  <Override PartName="/xl/charts/chart63.xml" ContentType="application/vnd.openxmlformats-officedocument.drawingml.chart+xml"/>
  <Override PartName="/xl/drawings/drawing65.xml" ContentType="application/vnd.openxmlformats-officedocument.drawingml.chartshapes+xml"/>
  <Override PartName="/xl/charts/chart64.xml" ContentType="application/vnd.openxmlformats-officedocument.drawingml.chart+xml"/>
  <Override PartName="/xl/drawings/drawing66.xml" ContentType="application/vnd.openxmlformats-officedocument.drawingml.chartshapes+xml"/>
  <Override PartName="/xl/charts/chart65.xml" ContentType="application/vnd.openxmlformats-officedocument.drawingml.chart+xml"/>
  <Override PartName="/xl/drawings/drawing67.xml" ContentType="application/vnd.openxmlformats-officedocument.drawingml.chartshapes+xml"/>
  <Override PartName="/xl/charts/chart66.xml" ContentType="application/vnd.openxmlformats-officedocument.drawingml.chart+xml"/>
  <Override PartName="/xl/drawings/drawing68.xml" ContentType="application/vnd.openxmlformats-officedocument.drawingml.chartshapes+xml"/>
  <Override PartName="/xl/charts/chart67.xml" ContentType="application/vnd.openxmlformats-officedocument.drawingml.chart+xml"/>
  <Override PartName="/xl/drawings/drawing69.xml" ContentType="application/vnd.openxmlformats-officedocument.drawingml.chartshapes+xml"/>
  <Override PartName="/xl/charts/chart68.xml" ContentType="application/vnd.openxmlformats-officedocument.drawingml.chart+xml"/>
  <Override PartName="/xl/drawings/drawing7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ekce_V\52_odbor_senovazne\521\OMDV\SVODKY\svodky2025\uchazeč\"/>
    </mc:Choice>
  </mc:AlternateContent>
  <xr:revisionPtr revIDLastSave="0" documentId="13_ncr:1_{0DFD071F-5420-4963-A57A-497B9B7FE605}" xr6:coauthVersionLast="47" xr6:coauthVersionMax="47" xr10:uidLastSave="{00000000-0000-0000-0000-000000000000}"/>
  <bookViews>
    <workbookView xWindow="5100" yWindow="2385" windowWidth="22185" windowHeight="12570" xr2:uid="{00000000-000D-0000-FFFF-FFFF00000000}"/>
  </bookViews>
  <sheets>
    <sheet name="Obsah" sheetId="1" r:id="rId1"/>
    <sheet name="vš_vše CZ" sheetId="2" r:id="rId2"/>
    <sheet name="vš_druh studia " sheetId="3" r:id="rId3"/>
    <sheet name="vš_programy" sheetId="4" r:id="rId4"/>
    <sheet name="vš_věk x dfst" sheetId="5" r:id="rId5"/>
    <sheet name="vš_věk" sheetId="6" r:id="rId6"/>
    <sheet name="vš_sex" sheetId="7" r:id="rId7"/>
    <sheet name="vš_fakulty_tisk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5" i="2" l="1"/>
  <c r="AB35" i="2"/>
  <c r="AA36" i="2"/>
  <c r="AB36" i="2"/>
  <c r="DZ251" i="8"/>
  <c r="DY251" i="8"/>
  <c r="DZ250" i="8"/>
  <c r="DY250" i="8"/>
  <c r="DZ249" i="8"/>
  <c r="DY249" i="8"/>
  <c r="DZ248" i="8"/>
  <c r="DY248" i="8"/>
  <c r="DZ247" i="8"/>
  <c r="DY247" i="8"/>
  <c r="DZ246" i="8"/>
  <c r="DY246" i="8"/>
  <c r="DZ244" i="8"/>
  <c r="DY244" i="8"/>
  <c r="DZ241" i="8"/>
  <c r="DY241" i="8"/>
  <c r="DZ237" i="8"/>
  <c r="DY237" i="8"/>
  <c r="DZ236" i="8"/>
  <c r="DY236" i="8"/>
  <c r="DZ235" i="8"/>
  <c r="DY235" i="8"/>
  <c r="DZ232" i="8"/>
  <c r="DY232" i="8"/>
  <c r="DZ228" i="8"/>
  <c r="DY228" i="8"/>
  <c r="DZ226" i="8"/>
  <c r="DY226" i="8"/>
  <c r="DZ220" i="8"/>
  <c r="DY220" i="8"/>
  <c r="DZ219" i="8"/>
  <c r="DY219" i="8"/>
  <c r="DZ218" i="8"/>
  <c r="DY218" i="8"/>
  <c r="DZ217" i="8"/>
  <c r="DY217" i="8"/>
  <c r="DZ216" i="8"/>
  <c r="DY216" i="8"/>
  <c r="DZ213" i="8"/>
  <c r="DY213" i="8"/>
  <c r="DZ207" i="8"/>
  <c r="DY207" i="8"/>
  <c r="DZ197" i="8"/>
  <c r="DY197" i="8"/>
  <c r="DZ195" i="8"/>
  <c r="DY195" i="8"/>
  <c r="DZ194" i="8"/>
  <c r="DY194" i="8"/>
  <c r="DZ193" i="8"/>
  <c r="DY193" i="8"/>
  <c r="DZ192" i="8"/>
  <c r="DY192" i="8"/>
  <c r="DZ191" i="8"/>
  <c r="DY191" i="8"/>
  <c r="DZ190" i="8"/>
  <c r="DY190" i="8"/>
  <c r="DZ189" i="8"/>
  <c r="DY189" i="8"/>
  <c r="DZ188" i="8"/>
  <c r="DY188" i="8"/>
  <c r="DZ187" i="8"/>
  <c r="DY187" i="8"/>
  <c r="DZ186" i="8"/>
  <c r="DY186" i="8"/>
  <c r="DZ185" i="8"/>
  <c r="DY185" i="8"/>
  <c r="DZ184" i="8"/>
  <c r="DY184" i="8"/>
  <c r="DZ183" i="8"/>
  <c r="DY183" i="8"/>
  <c r="DZ182" i="8"/>
  <c r="DY182" i="8"/>
  <c r="DZ181" i="8"/>
  <c r="DY181" i="8"/>
  <c r="DZ180" i="8"/>
  <c r="DY180" i="8"/>
  <c r="DZ179" i="8"/>
  <c r="DY179" i="8"/>
  <c r="DZ178" i="8"/>
  <c r="DY178" i="8"/>
  <c r="DZ177" i="8"/>
  <c r="DY177" i="8"/>
  <c r="DZ176" i="8"/>
  <c r="DY176" i="8"/>
  <c r="DZ174" i="8"/>
  <c r="DY174" i="8"/>
  <c r="DZ173" i="8"/>
  <c r="DY173" i="8"/>
  <c r="DZ172" i="8"/>
  <c r="DY172" i="8"/>
  <c r="DZ171" i="8"/>
  <c r="DY171" i="8"/>
  <c r="DZ170" i="8"/>
  <c r="DY170" i="8"/>
  <c r="DZ169" i="8"/>
  <c r="DY169" i="8"/>
  <c r="DZ168" i="8"/>
  <c r="DY168" i="8"/>
  <c r="DZ167" i="8"/>
  <c r="DY167" i="8"/>
  <c r="DZ166" i="8"/>
  <c r="DY166" i="8"/>
  <c r="DZ165" i="8"/>
  <c r="DY165" i="8"/>
  <c r="DZ164" i="8"/>
  <c r="DY164" i="8"/>
  <c r="DZ163" i="8"/>
  <c r="DY163" i="8"/>
  <c r="DZ162" i="8"/>
  <c r="DY162" i="8"/>
  <c r="DZ161" i="8"/>
  <c r="DY161" i="8"/>
  <c r="DZ159" i="8"/>
  <c r="DY159" i="8"/>
  <c r="DZ158" i="8"/>
  <c r="DY158" i="8"/>
  <c r="DZ157" i="8"/>
  <c r="DY157" i="8"/>
  <c r="DZ156" i="8"/>
  <c r="DY156" i="8"/>
  <c r="DZ155" i="8"/>
  <c r="DY155" i="8"/>
  <c r="DZ154" i="8"/>
  <c r="DY154" i="8"/>
  <c r="DZ153" i="8"/>
  <c r="DY153" i="8"/>
  <c r="DZ151" i="8"/>
  <c r="DY151" i="8"/>
  <c r="DZ150" i="8"/>
  <c r="DY150" i="8"/>
  <c r="DZ149" i="8"/>
  <c r="DY149" i="8"/>
  <c r="DZ148" i="8"/>
  <c r="DY148" i="8"/>
  <c r="DZ147" i="8"/>
  <c r="DY147" i="8"/>
  <c r="DZ146" i="8"/>
  <c r="DY146" i="8"/>
  <c r="DZ145" i="8"/>
  <c r="DY145" i="8"/>
  <c r="DZ144" i="8"/>
  <c r="DY144" i="8"/>
  <c r="DZ143" i="8"/>
  <c r="DY143" i="8"/>
  <c r="DZ140" i="8"/>
  <c r="DY140" i="8"/>
  <c r="DZ139" i="8"/>
  <c r="DY139" i="8"/>
  <c r="DZ138" i="8"/>
  <c r="DY138" i="8"/>
  <c r="DZ137" i="8"/>
  <c r="DY137" i="8"/>
  <c r="DZ136" i="8"/>
  <c r="DY136" i="8"/>
  <c r="DZ135" i="8"/>
  <c r="DY135" i="8"/>
  <c r="DZ134" i="8"/>
  <c r="DY134" i="8"/>
  <c r="DZ133" i="8"/>
  <c r="DY133" i="8"/>
  <c r="DZ132" i="8"/>
  <c r="DY132" i="8"/>
  <c r="DZ130" i="8"/>
  <c r="DY130" i="8"/>
  <c r="DZ129" i="8"/>
  <c r="DY129" i="8"/>
  <c r="DZ128" i="8"/>
  <c r="DY128" i="8"/>
  <c r="DZ127" i="8"/>
  <c r="DY127" i="8"/>
  <c r="DZ126" i="8"/>
  <c r="DY126" i="8"/>
  <c r="DZ125" i="8"/>
  <c r="DY125" i="8"/>
  <c r="DZ124" i="8"/>
  <c r="DY124" i="8"/>
  <c r="DZ123" i="8"/>
  <c r="DY123" i="8"/>
  <c r="DZ121" i="8"/>
  <c r="DY121" i="8"/>
  <c r="DZ120" i="8"/>
  <c r="DY120" i="8"/>
  <c r="DZ119" i="8"/>
  <c r="DY119" i="8"/>
  <c r="DZ118" i="8"/>
  <c r="DY118" i="8"/>
  <c r="DZ117" i="8"/>
  <c r="DY117" i="8"/>
  <c r="DZ116" i="8"/>
  <c r="DY116" i="8"/>
  <c r="DZ115" i="8"/>
  <c r="DY115" i="8"/>
  <c r="DZ114" i="8"/>
  <c r="DY114" i="8"/>
  <c r="DZ112" i="8"/>
  <c r="DY112" i="8"/>
  <c r="DZ111" i="8"/>
  <c r="DY111" i="8"/>
  <c r="DZ110" i="8"/>
  <c r="DY110" i="8"/>
  <c r="DZ109" i="8"/>
  <c r="DY109" i="8"/>
  <c r="DZ108" i="8"/>
  <c r="DY108" i="8"/>
  <c r="DZ107" i="8"/>
  <c r="DY107" i="8"/>
  <c r="DZ106" i="8"/>
  <c r="DY106" i="8"/>
  <c r="DZ105" i="8"/>
  <c r="DY105" i="8"/>
  <c r="DZ104" i="8"/>
  <c r="DY104" i="8"/>
  <c r="DZ103" i="8"/>
  <c r="DY103" i="8"/>
  <c r="DZ102" i="8"/>
  <c r="DY102" i="8"/>
  <c r="DZ101" i="8"/>
  <c r="DY101" i="8"/>
  <c r="DZ100" i="8"/>
  <c r="DY100" i="8"/>
  <c r="DZ99" i="8"/>
  <c r="DY99" i="8"/>
  <c r="DZ98" i="8"/>
  <c r="DY98" i="8"/>
  <c r="DZ97" i="8"/>
  <c r="DY97" i="8"/>
  <c r="DZ96" i="8"/>
  <c r="DY96" i="8"/>
  <c r="DZ95" i="8"/>
  <c r="DY95" i="8"/>
  <c r="DZ94" i="8"/>
  <c r="DY94" i="8"/>
  <c r="DZ93" i="8"/>
  <c r="DY93" i="8"/>
  <c r="DZ92" i="8"/>
  <c r="DY92" i="8"/>
  <c r="DZ91" i="8"/>
  <c r="DY91" i="8"/>
  <c r="DZ90" i="8"/>
  <c r="DY90" i="8"/>
  <c r="DZ89" i="8"/>
  <c r="DY89" i="8"/>
  <c r="DZ88" i="8"/>
  <c r="DY88" i="8"/>
  <c r="DZ87" i="8"/>
  <c r="DY87" i="8"/>
  <c r="DZ86" i="8"/>
  <c r="DY86" i="8"/>
  <c r="DZ85" i="8"/>
  <c r="DY85" i="8"/>
  <c r="DZ84" i="8"/>
  <c r="DY84" i="8"/>
  <c r="DZ83" i="8"/>
  <c r="DY83" i="8"/>
  <c r="DZ82" i="8"/>
  <c r="DY82" i="8"/>
  <c r="DZ80" i="8"/>
  <c r="DY80" i="8"/>
  <c r="DZ79" i="8"/>
  <c r="DY79" i="8"/>
  <c r="DZ78" i="8"/>
  <c r="DY78" i="8"/>
  <c r="DZ77" i="8"/>
  <c r="DY77" i="8"/>
  <c r="DZ76" i="8"/>
  <c r="DY76" i="8"/>
  <c r="DZ74" i="8"/>
  <c r="DY74" i="8"/>
  <c r="DZ73" i="8"/>
  <c r="DY73" i="8"/>
  <c r="DZ72" i="8"/>
  <c r="DY72" i="8"/>
  <c r="DZ71" i="8"/>
  <c r="DY71" i="8"/>
  <c r="DZ70" i="8"/>
  <c r="DY70" i="8"/>
  <c r="DZ69" i="8"/>
  <c r="DY69" i="8"/>
  <c r="DZ68" i="8"/>
  <c r="DY68" i="8"/>
  <c r="DZ66" i="8"/>
  <c r="DY66" i="8"/>
  <c r="DZ65" i="8"/>
  <c r="DY65" i="8"/>
  <c r="DZ64" i="8"/>
  <c r="DY64" i="8"/>
  <c r="DZ63" i="8"/>
  <c r="DY63" i="8"/>
  <c r="DZ62" i="8"/>
  <c r="DY62" i="8"/>
  <c r="DZ61" i="8"/>
  <c r="DY61" i="8"/>
  <c r="DZ60" i="8"/>
  <c r="DY60" i="8"/>
  <c r="DZ59" i="8"/>
  <c r="DY59" i="8"/>
  <c r="DZ58" i="8"/>
  <c r="DY58" i="8"/>
  <c r="DZ57" i="8"/>
  <c r="DY57" i="8"/>
  <c r="DZ56" i="8"/>
  <c r="DY56" i="8"/>
  <c r="DZ55" i="8"/>
  <c r="DY55" i="8"/>
  <c r="DZ54" i="8"/>
  <c r="DY54" i="8"/>
  <c r="DZ53" i="8"/>
  <c r="DY53" i="8"/>
  <c r="DZ52" i="8"/>
  <c r="DY52" i="8"/>
  <c r="DZ51" i="8"/>
  <c r="DY51" i="8"/>
  <c r="DZ50" i="8"/>
  <c r="DY50" i="8"/>
  <c r="DZ49" i="8"/>
  <c r="DY49" i="8"/>
  <c r="DZ48" i="8"/>
  <c r="DY48" i="8"/>
  <c r="DZ47" i="8"/>
  <c r="DY47" i="8"/>
  <c r="DZ46" i="8"/>
  <c r="DY46" i="8"/>
  <c r="DZ45" i="8"/>
  <c r="DY45" i="8"/>
  <c r="DZ44" i="8"/>
  <c r="DY44" i="8"/>
  <c r="DZ42" i="8"/>
  <c r="DY42" i="8"/>
  <c r="DZ41" i="8"/>
  <c r="DY41" i="8"/>
  <c r="DZ40" i="8"/>
  <c r="DY40" i="8"/>
  <c r="DZ39" i="8"/>
  <c r="DY39" i="8"/>
  <c r="DZ38" i="8"/>
  <c r="DY38" i="8"/>
  <c r="DZ37" i="8"/>
  <c r="DY37" i="8"/>
  <c r="DZ36" i="8"/>
  <c r="DY36" i="8"/>
  <c r="DZ35" i="8"/>
  <c r="DY35" i="8"/>
  <c r="DZ34" i="8"/>
  <c r="DY34" i="8"/>
  <c r="DZ32" i="8"/>
  <c r="DY32" i="8"/>
  <c r="DZ31" i="8"/>
  <c r="DY31" i="8"/>
  <c r="DZ30" i="8"/>
  <c r="DY30" i="8"/>
  <c r="DZ29" i="8"/>
  <c r="DY29" i="8"/>
  <c r="DZ28" i="8"/>
  <c r="DY28" i="8"/>
  <c r="DZ27" i="8"/>
  <c r="DY27" i="8"/>
  <c r="DZ26" i="8"/>
  <c r="DY26" i="8"/>
  <c r="DZ25" i="8"/>
  <c r="DY25" i="8"/>
  <c r="DZ24" i="8"/>
  <c r="DY24" i="8"/>
  <c r="DZ23" i="8"/>
  <c r="DY23" i="8"/>
  <c r="DZ22" i="8"/>
  <c r="DY22" i="8"/>
  <c r="DZ21" i="8"/>
  <c r="DY21" i="8"/>
  <c r="DZ20" i="8"/>
  <c r="DY20" i="8"/>
  <c r="DZ19" i="8"/>
  <c r="DY19" i="8"/>
  <c r="DZ18" i="8"/>
  <c r="DY18" i="8"/>
  <c r="DZ17" i="8"/>
  <c r="DY17" i="8"/>
  <c r="DZ16" i="8"/>
  <c r="DY16" i="8"/>
  <c r="DZ15" i="8"/>
  <c r="DY15" i="8"/>
  <c r="DZ14" i="8"/>
  <c r="DY14" i="8"/>
  <c r="DZ13" i="8"/>
  <c r="DY13" i="8"/>
  <c r="DZ12" i="8"/>
  <c r="DY12" i="8"/>
  <c r="DZ11" i="8"/>
  <c r="DY11" i="8"/>
  <c r="DZ10" i="8"/>
  <c r="DY10" i="8"/>
  <c r="DZ9" i="8"/>
  <c r="DY9" i="8"/>
  <c r="DZ8" i="8"/>
  <c r="DY8" i="8"/>
  <c r="DZ7" i="8"/>
  <c r="DY7" i="8"/>
  <c r="DZ6" i="8"/>
  <c r="DY6" i="8"/>
  <c r="DZ5" i="8"/>
  <c r="DY5" i="8"/>
  <c r="AS87" i="7"/>
  <c r="AS86" i="7"/>
  <c r="P84" i="7"/>
  <c r="P83" i="7"/>
  <c r="O84" i="7"/>
  <c r="N84" i="7"/>
  <c r="M84" i="7"/>
  <c r="J84" i="7"/>
  <c r="G84" i="7"/>
  <c r="E84" i="7"/>
  <c r="O83" i="7"/>
  <c r="N83" i="7"/>
  <c r="M83" i="7"/>
  <c r="J83" i="7"/>
  <c r="G83" i="7"/>
  <c r="E83" i="7"/>
  <c r="AB17" i="6"/>
  <c r="AB16" i="6"/>
  <c r="AB6" i="6"/>
  <c r="AB7" i="6"/>
  <c r="AB8" i="6"/>
  <c r="AB9" i="6"/>
  <c r="AB10" i="6"/>
  <c r="AB11" i="6"/>
  <c r="AB12" i="6"/>
  <c r="AB13" i="6"/>
  <c r="AB14" i="6"/>
  <c r="AB15" i="6"/>
  <c r="AB5" i="6"/>
  <c r="AB4" i="6"/>
  <c r="P606" i="3"/>
  <c r="P607" i="3"/>
  <c r="O607" i="3"/>
  <c r="O606" i="3"/>
  <c r="P604" i="3"/>
  <c r="O604" i="3"/>
  <c r="P603" i="3"/>
  <c r="O603" i="3"/>
  <c r="P602" i="3"/>
  <c r="O602" i="3"/>
  <c r="F603" i="3"/>
  <c r="N607" i="3"/>
  <c r="M607" i="3"/>
  <c r="J607" i="3"/>
  <c r="I607" i="3"/>
  <c r="F607" i="3"/>
  <c r="N606" i="3"/>
  <c r="M606" i="3"/>
  <c r="J606" i="3"/>
  <c r="I606" i="3"/>
  <c r="F606" i="3"/>
  <c r="N604" i="3"/>
  <c r="M604" i="3"/>
  <c r="J604" i="3"/>
  <c r="I604" i="3"/>
  <c r="F604" i="3"/>
  <c r="N603" i="3"/>
  <c r="M603" i="3"/>
  <c r="J603" i="3"/>
  <c r="I603" i="3"/>
  <c r="N602" i="3"/>
  <c r="M602" i="3"/>
  <c r="J602" i="3"/>
  <c r="I602" i="3"/>
  <c r="F602" i="3"/>
  <c r="P406" i="3"/>
  <c r="O406" i="3"/>
  <c r="P405" i="3"/>
  <c r="O405" i="3"/>
  <c r="P404" i="3"/>
  <c r="O404" i="3"/>
  <c r="P403" i="3"/>
  <c r="O403" i="3"/>
  <c r="P402" i="3"/>
  <c r="O402" i="3"/>
  <c r="P401" i="3"/>
  <c r="O401" i="3"/>
  <c r="P400" i="3"/>
  <c r="O400" i="3"/>
  <c r="N406" i="3"/>
  <c r="M406" i="3"/>
  <c r="J406" i="3"/>
  <c r="I406" i="3"/>
  <c r="F406" i="3"/>
  <c r="N405" i="3"/>
  <c r="M405" i="3"/>
  <c r="J405" i="3"/>
  <c r="I405" i="3"/>
  <c r="F405" i="3"/>
  <c r="N404" i="3"/>
  <c r="M404" i="3"/>
  <c r="J404" i="3"/>
  <c r="I404" i="3"/>
  <c r="F404" i="3"/>
  <c r="N403" i="3"/>
  <c r="M403" i="3"/>
  <c r="J403" i="3"/>
  <c r="I403" i="3"/>
  <c r="F403" i="3"/>
  <c r="N402" i="3"/>
  <c r="M402" i="3"/>
  <c r="J402" i="3"/>
  <c r="I402" i="3"/>
  <c r="F402" i="3"/>
  <c r="N401" i="3"/>
  <c r="M401" i="3"/>
  <c r="J401" i="3"/>
  <c r="I401" i="3"/>
  <c r="F401" i="3"/>
  <c r="N400" i="3"/>
  <c r="M400" i="3"/>
  <c r="J400" i="3"/>
  <c r="I400" i="3"/>
  <c r="F400" i="3"/>
  <c r="P199" i="3"/>
  <c r="P203" i="3"/>
  <c r="P202" i="3"/>
  <c r="P200" i="3"/>
  <c r="O200" i="3"/>
  <c r="P198" i="3"/>
  <c r="P197" i="3"/>
  <c r="O203" i="3"/>
  <c r="O202" i="3"/>
  <c r="O199" i="3"/>
  <c r="O201" i="3"/>
  <c r="O198" i="3"/>
  <c r="O197" i="3"/>
  <c r="R93" i="2"/>
  <c r="M125" i="2" s="1"/>
  <c r="N203" i="3"/>
  <c r="M203" i="3"/>
  <c r="J203" i="3"/>
  <c r="I203" i="3"/>
  <c r="F203" i="3"/>
  <c r="N202" i="3"/>
  <c r="M202" i="3"/>
  <c r="J202" i="3"/>
  <c r="I202" i="3"/>
  <c r="F202" i="3"/>
  <c r="P201" i="3"/>
  <c r="N201" i="3"/>
  <c r="M201" i="3"/>
  <c r="J201" i="3"/>
  <c r="I201" i="3"/>
  <c r="F201" i="3"/>
  <c r="N200" i="3"/>
  <c r="M200" i="3"/>
  <c r="J200" i="3"/>
  <c r="I200" i="3"/>
  <c r="F200" i="3"/>
  <c r="N199" i="3"/>
  <c r="M199" i="3"/>
  <c r="J199" i="3"/>
  <c r="I199" i="3"/>
  <c r="F199" i="3"/>
  <c r="N198" i="3"/>
  <c r="M198" i="3"/>
  <c r="J198" i="3"/>
  <c r="I198" i="3"/>
  <c r="F198" i="3"/>
  <c r="N197" i="3"/>
  <c r="M197" i="3"/>
  <c r="J197" i="3"/>
  <c r="I197" i="3"/>
  <c r="F197" i="3"/>
  <c r="R92" i="2"/>
  <c r="B124" i="2" s="1"/>
  <c r="Q93" i="2"/>
  <c r="AB34" i="2"/>
  <c r="AB33" i="2"/>
  <c r="AB31" i="2"/>
  <c r="AB30" i="2"/>
  <c r="AB18" i="2"/>
  <c r="AB20" i="2" s="1"/>
  <c r="AB17" i="2"/>
  <c r="AB16" i="2"/>
  <c r="DQ251" i="8"/>
  <c r="DP251" i="8"/>
  <c r="DQ250" i="8"/>
  <c r="DP250" i="8"/>
  <c r="DQ249" i="8"/>
  <c r="DP249" i="8"/>
  <c r="DQ248" i="8"/>
  <c r="DP248" i="8"/>
  <c r="DQ247" i="8"/>
  <c r="DP247" i="8"/>
  <c r="DQ246" i="8"/>
  <c r="DP246" i="8"/>
  <c r="DQ244" i="8"/>
  <c r="DP244" i="8"/>
  <c r="DQ243" i="8"/>
  <c r="DP243" i="8"/>
  <c r="DQ241" i="8"/>
  <c r="DP241" i="8"/>
  <c r="DQ237" i="8"/>
  <c r="DP237" i="8"/>
  <c r="DQ236" i="8"/>
  <c r="DP236" i="8"/>
  <c r="DQ235" i="8"/>
  <c r="DP235" i="8"/>
  <c r="DQ232" i="8"/>
  <c r="DP232" i="8"/>
  <c r="DQ231" i="8"/>
  <c r="DP231" i="8"/>
  <c r="DQ228" i="8"/>
  <c r="DP228" i="8"/>
  <c r="DQ226" i="8"/>
  <c r="DP226" i="8"/>
  <c r="DQ220" i="8"/>
  <c r="DP220" i="8"/>
  <c r="DQ219" i="8"/>
  <c r="DP219" i="8"/>
  <c r="DQ218" i="8"/>
  <c r="DP218" i="8"/>
  <c r="DQ217" i="8"/>
  <c r="DP217" i="8"/>
  <c r="DQ216" i="8"/>
  <c r="DP216" i="8"/>
  <c r="DQ213" i="8"/>
  <c r="DP213" i="8"/>
  <c r="DQ207" i="8"/>
  <c r="DP207" i="8"/>
  <c r="DQ197" i="8"/>
  <c r="DP197" i="8"/>
  <c r="DQ195" i="8"/>
  <c r="DP195" i="8"/>
  <c r="DQ194" i="8"/>
  <c r="DP194" i="8"/>
  <c r="DQ193" i="8"/>
  <c r="DP193" i="8"/>
  <c r="DQ192" i="8"/>
  <c r="DP192" i="8"/>
  <c r="DQ191" i="8"/>
  <c r="DP191" i="8"/>
  <c r="DQ190" i="8"/>
  <c r="DP190" i="8"/>
  <c r="DQ189" i="8"/>
  <c r="DP189" i="8"/>
  <c r="DQ188" i="8"/>
  <c r="DP188" i="8"/>
  <c r="DQ187" i="8"/>
  <c r="DP187" i="8"/>
  <c r="DQ186" i="8"/>
  <c r="DP186" i="8"/>
  <c r="DQ185" i="8"/>
  <c r="DP185" i="8"/>
  <c r="DQ184" i="8"/>
  <c r="DP184" i="8"/>
  <c r="DQ183" i="8"/>
  <c r="DP183" i="8"/>
  <c r="DQ182" i="8"/>
  <c r="DP182" i="8"/>
  <c r="DQ181" i="8"/>
  <c r="DP181" i="8"/>
  <c r="DQ180" i="8"/>
  <c r="DP180" i="8"/>
  <c r="DQ179" i="8"/>
  <c r="DP179" i="8"/>
  <c r="DQ178" i="8"/>
  <c r="DP178" i="8"/>
  <c r="DQ177" i="8"/>
  <c r="DP177" i="8"/>
  <c r="DQ176" i="8"/>
  <c r="DP176" i="8"/>
  <c r="DQ174" i="8"/>
  <c r="DP174" i="8"/>
  <c r="DQ173" i="8"/>
  <c r="DP173" i="8"/>
  <c r="DQ172" i="8"/>
  <c r="DP172" i="8"/>
  <c r="DQ171" i="8"/>
  <c r="DP171" i="8"/>
  <c r="DQ170" i="8"/>
  <c r="DP170" i="8"/>
  <c r="DQ169" i="8"/>
  <c r="DP169" i="8"/>
  <c r="DQ168" i="8"/>
  <c r="DP168" i="8"/>
  <c r="DQ167" i="8"/>
  <c r="DP167" i="8"/>
  <c r="DQ166" i="8"/>
  <c r="DP166" i="8"/>
  <c r="DQ165" i="8"/>
  <c r="DP165" i="8"/>
  <c r="DQ164" i="8"/>
  <c r="DP164" i="8"/>
  <c r="DQ163" i="8"/>
  <c r="DP163" i="8"/>
  <c r="DQ162" i="8"/>
  <c r="DP162" i="8"/>
  <c r="DQ161" i="8"/>
  <c r="DP161" i="8"/>
  <c r="DQ159" i="8"/>
  <c r="DP159" i="8"/>
  <c r="DQ158" i="8"/>
  <c r="DP158" i="8"/>
  <c r="DQ157" i="8"/>
  <c r="DP157" i="8"/>
  <c r="DQ156" i="8"/>
  <c r="DP156" i="8"/>
  <c r="DQ155" i="8"/>
  <c r="DP155" i="8"/>
  <c r="DQ154" i="8"/>
  <c r="DP154" i="8"/>
  <c r="DQ153" i="8"/>
  <c r="DP153" i="8"/>
  <c r="DQ151" i="8"/>
  <c r="DP151" i="8"/>
  <c r="DQ150" i="8"/>
  <c r="DP150" i="8"/>
  <c r="DQ149" i="8"/>
  <c r="DP149" i="8"/>
  <c r="DQ148" i="8"/>
  <c r="DP148" i="8"/>
  <c r="DQ147" i="8"/>
  <c r="DP147" i="8"/>
  <c r="DQ146" i="8"/>
  <c r="DP146" i="8"/>
  <c r="DQ145" i="8"/>
  <c r="DP145" i="8"/>
  <c r="DQ144" i="8"/>
  <c r="DP144" i="8"/>
  <c r="DQ143" i="8"/>
  <c r="DP143" i="8"/>
  <c r="DQ140" i="8"/>
  <c r="DP140" i="8"/>
  <c r="DQ139" i="8"/>
  <c r="DP139" i="8"/>
  <c r="DQ138" i="8"/>
  <c r="DP138" i="8"/>
  <c r="DQ137" i="8"/>
  <c r="DP137" i="8"/>
  <c r="DQ136" i="8"/>
  <c r="DP136" i="8"/>
  <c r="DQ135" i="8"/>
  <c r="DP135" i="8"/>
  <c r="DQ134" i="8"/>
  <c r="DP134" i="8"/>
  <c r="DQ133" i="8"/>
  <c r="DP133" i="8"/>
  <c r="DQ132" i="8"/>
  <c r="DP132" i="8"/>
  <c r="DQ130" i="8"/>
  <c r="DP130" i="8"/>
  <c r="DQ129" i="8"/>
  <c r="DP129" i="8"/>
  <c r="DQ128" i="8"/>
  <c r="DP128" i="8"/>
  <c r="DQ127" i="8"/>
  <c r="DP127" i="8"/>
  <c r="DQ126" i="8"/>
  <c r="DP126" i="8"/>
  <c r="DQ125" i="8"/>
  <c r="DP125" i="8"/>
  <c r="DQ124" i="8"/>
  <c r="DP124" i="8"/>
  <c r="DQ123" i="8"/>
  <c r="DP123" i="8"/>
  <c r="DQ121" i="8"/>
  <c r="DP121" i="8"/>
  <c r="DQ120" i="8"/>
  <c r="DP120" i="8"/>
  <c r="DQ119" i="8"/>
  <c r="DP119" i="8"/>
  <c r="DQ118" i="8"/>
  <c r="DP118" i="8"/>
  <c r="DQ117" i="8"/>
  <c r="DP117" i="8"/>
  <c r="DQ116" i="8"/>
  <c r="DP116" i="8"/>
  <c r="DQ115" i="8"/>
  <c r="DP115" i="8"/>
  <c r="DQ114" i="8"/>
  <c r="DP114" i="8"/>
  <c r="DQ112" i="8"/>
  <c r="DP112" i="8"/>
  <c r="DQ111" i="8"/>
  <c r="DP111" i="8"/>
  <c r="DQ110" i="8"/>
  <c r="DP110" i="8"/>
  <c r="DQ109" i="8"/>
  <c r="DP109" i="8"/>
  <c r="DQ108" i="8"/>
  <c r="DP108" i="8"/>
  <c r="DQ107" i="8"/>
  <c r="DP107" i="8"/>
  <c r="DQ106" i="8"/>
  <c r="DP106" i="8"/>
  <c r="DQ105" i="8"/>
  <c r="DP105" i="8"/>
  <c r="DQ104" i="8"/>
  <c r="DP104" i="8"/>
  <c r="DQ103" i="8"/>
  <c r="DP103" i="8"/>
  <c r="DQ102" i="8"/>
  <c r="DP102" i="8"/>
  <c r="DQ101" i="8"/>
  <c r="DP101" i="8"/>
  <c r="DQ100" i="8"/>
  <c r="DP100" i="8"/>
  <c r="DQ99" i="8"/>
  <c r="DP99" i="8"/>
  <c r="DQ98" i="8"/>
  <c r="DP98" i="8"/>
  <c r="DQ97" i="8"/>
  <c r="DP97" i="8"/>
  <c r="DQ96" i="8"/>
  <c r="DP96" i="8"/>
  <c r="DQ95" i="8"/>
  <c r="DP95" i="8"/>
  <c r="DQ94" i="8"/>
  <c r="DP94" i="8"/>
  <c r="DQ93" i="8"/>
  <c r="DP93" i="8"/>
  <c r="DQ92" i="8"/>
  <c r="DP92" i="8"/>
  <c r="DQ91" i="8"/>
  <c r="DP91" i="8"/>
  <c r="DQ90" i="8"/>
  <c r="DP90" i="8"/>
  <c r="DQ89" i="8"/>
  <c r="DP89" i="8"/>
  <c r="DQ88" i="8"/>
  <c r="DP88" i="8"/>
  <c r="DQ87" i="8"/>
  <c r="DP87" i="8"/>
  <c r="DQ86" i="8"/>
  <c r="DP86" i="8"/>
  <c r="DQ85" i="8"/>
  <c r="DP85" i="8"/>
  <c r="DQ84" i="8"/>
  <c r="DP84" i="8"/>
  <c r="DQ83" i="8"/>
  <c r="DP83" i="8"/>
  <c r="DQ82" i="8"/>
  <c r="DP82" i="8"/>
  <c r="DQ80" i="8"/>
  <c r="DP80" i="8"/>
  <c r="DQ79" i="8"/>
  <c r="DP79" i="8"/>
  <c r="DQ78" i="8"/>
  <c r="DP78" i="8"/>
  <c r="DQ77" i="8"/>
  <c r="DP77" i="8"/>
  <c r="DQ76" i="8"/>
  <c r="DP76" i="8"/>
  <c r="DQ74" i="8"/>
  <c r="DP74" i="8"/>
  <c r="DQ73" i="8"/>
  <c r="DP73" i="8"/>
  <c r="DQ72" i="8"/>
  <c r="DP72" i="8"/>
  <c r="DQ71" i="8"/>
  <c r="DP71" i="8"/>
  <c r="DQ70" i="8"/>
  <c r="DP70" i="8"/>
  <c r="DQ69" i="8"/>
  <c r="DP69" i="8"/>
  <c r="DQ68" i="8"/>
  <c r="DP68" i="8"/>
  <c r="DQ66" i="8"/>
  <c r="DP66" i="8"/>
  <c r="DQ65" i="8"/>
  <c r="DP65" i="8"/>
  <c r="DQ64" i="8"/>
  <c r="DP64" i="8"/>
  <c r="DQ63" i="8"/>
  <c r="DP63" i="8"/>
  <c r="DQ62" i="8"/>
  <c r="DP62" i="8"/>
  <c r="DQ61" i="8"/>
  <c r="DP61" i="8"/>
  <c r="DQ60" i="8"/>
  <c r="DP60" i="8"/>
  <c r="DQ59" i="8"/>
  <c r="DP59" i="8"/>
  <c r="DQ58" i="8"/>
  <c r="DP58" i="8"/>
  <c r="DQ57" i="8"/>
  <c r="DP57" i="8"/>
  <c r="DQ56" i="8"/>
  <c r="DP56" i="8"/>
  <c r="DQ55" i="8"/>
  <c r="DP55" i="8"/>
  <c r="DQ54" i="8"/>
  <c r="DP54" i="8"/>
  <c r="DQ53" i="8"/>
  <c r="DP53" i="8"/>
  <c r="DQ52" i="8"/>
  <c r="DP52" i="8"/>
  <c r="DQ51" i="8"/>
  <c r="DP51" i="8"/>
  <c r="DQ50" i="8"/>
  <c r="DP50" i="8"/>
  <c r="DQ49" i="8"/>
  <c r="DP49" i="8"/>
  <c r="DQ48" i="8"/>
  <c r="DP48" i="8"/>
  <c r="DQ47" i="8"/>
  <c r="DP47" i="8"/>
  <c r="DQ46" i="8"/>
  <c r="DP46" i="8"/>
  <c r="DQ45" i="8"/>
  <c r="DP45" i="8"/>
  <c r="DQ44" i="8"/>
  <c r="DP44" i="8"/>
  <c r="DQ42" i="8"/>
  <c r="DP42" i="8"/>
  <c r="DQ41" i="8"/>
  <c r="DP41" i="8"/>
  <c r="DQ40" i="8"/>
  <c r="DP40" i="8"/>
  <c r="DQ39" i="8"/>
  <c r="DP39" i="8"/>
  <c r="DQ38" i="8"/>
  <c r="DP38" i="8"/>
  <c r="DQ37" i="8"/>
  <c r="DP37" i="8"/>
  <c r="DQ36" i="8"/>
  <c r="DP36" i="8"/>
  <c r="DQ35" i="8"/>
  <c r="DP35" i="8"/>
  <c r="DQ34" i="8"/>
  <c r="DP34" i="8"/>
  <c r="DQ32" i="8"/>
  <c r="DP32" i="8"/>
  <c r="DQ31" i="8"/>
  <c r="DP31" i="8"/>
  <c r="DQ30" i="8"/>
  <c r="DP30" i="8"/>
  <c r="DQ29" i="8"/>
  <c r="DP29" i="8"/>
  <c r="DQ28" i="8"/>
  <c r="DP28" i="8"/>
  <c r="DQ27" i="8"/>
  <c r="DP27" i="8"/>
  <c r="DQ26" i="8"/>
  <c r="DP26" i="8"/>
  <c r="DQ25" i="8"/>
  <c r="DP25" i="8"/>
  <c r="DQ24" i="8"/>
  <c r="DP24" i="8"/>
  <c r="DQ23" i="8"/>
  <c r="DP23" i="8"/>
  <c r="DQ22" i="8"/>
  <c r="DP22" i="8"/>
  <c r="DQ21" i="8"/>
  <c r="DP21" i="8"/>
  <c r="DQ20" i="8"/>
  <c r="DP20" i="8"/>
  <c r="DQ19" i="8"/>
  <c r="DP19" i="8"/>
  <c r="DQ18" i="8"/>
  <c r="DP18" i="8"/>
  <c r="DQ17" i="8"/>
  <c r="DP17" i="8"/>
  <c r="DQ16" i="8"/>
  <c r="DP16" i="8"/>
  <c r="DQ15" i="8"/>
  <c r="DP15" i="8"/>
  <c r="DQ14" i="8"/>
  <c r="DP14" i="8"/>
  <c r="DQ13" i="8"/>
  <c r="DP13" i="8"/>
  <c r="DQ12" i="8"/>
  <c r="DP12" i="8"/>
  <c r="DQ11" i="8"/>
  <c r="DP11" i="8"/>
  <c r="DQ10" i="8"/>
  <c r="DP10" i="8"/>
  <c r="DQ9" i="8"/>
  <c r="DP9" i="8"/>
  <c r="DQ8" i="8"/>
  <c r="DP8" i="8"/>
  <c r="DQ7" i="8"/>
  <c r="DP7" i="8"/>
  <c r="DQ6" i="8"/>
  <c r="DP6" i="8"/>
  <c r="DQ5" i="8"/>
  <c r="DP5" i="8"/>
  <c r="P81" i="7"/>
  <c r="P80" i="7"/>
  <c r="O81" i="7"/>
  <c r="N81" i="7"/>
  <c r="M81" i="7"/>
  <c r="J81" i="7"/>
  <c r="G81" i="7"/>
  <c r="E81" i="7"/>
  <c r="AR87" i="7" s="1"/>
  <c r="O80" i="7"/>
  <c r="N80" i="7"/>
  <c r="M80" i="7"/>
  <c r="J80" i="7"/>
  <c r="G80" i="7"/>
  <c r="E80" i="7"/>
  <c r="AR86" i="7" s="1"/>
  <c r="AA17" i="6"/>
  <c r="AA16" i="6"/>
  <c r="AA15" i="6"/>
  <c r="AA14" i="6"/>
  <c r="AA13" i="6"/>
  <c r="AA12" i="6"/>
  <c r="AA11" i="6"/>
  <c r="AA10" i="6"/>
  <c r="AA9" i="6"/>
  <c r="AA8" i="6"/>
  <c r="AA7" i="6"/>
  <c r="AA6" i="6"/>
  <c r="AA5" i="6"/>
  <c r="AA4" i="6"/>
  <c r="P599" i="3"/>
  <c r="P598" i="3"/>
  <c r="O599" i="3"/>
  <c r="O598" i="3"/>
  <c r="P596" i="3"/>
  <c r="O596" i="3"/>
  <c r="O595" i="3"/>
  <c r="P594" i="3"/>
  <c r="O594" i="3"/>
  <c r="N599" i="3"/>
  <c r="M599" i="3"/>
  <c r="J599" i="3"/>
  <c r="I599" i="3"/>
  <c r="F599" i="3"/>
  <c r="N598" i="3"/>
  <c r="M598" i="3"/>
  <c r="J598" i="3"/>
  <c r="I598" i="3"/>
  <c r="F598" i="3"/>
  <c r="N596" i="3"/>
  <c r="M596" i="3"/>
  <c r="J596" i="3"/>
  <c r="I596" i="3"/>
  <c r="F596" i="3"/>
  <c r="P595" i="3"/>
  <c r="N595" i="3"/>
  <c r="M595" i="3"/>
  <c r="J595" i="3"/>
  <c r="I595" i="3"/>
  <c r="F595" i="3"/>
  <c r="N594" i="3"/>
  <c r="M594" i="3"/>
  <c r="J594" i="3"/>
  <c r="I594" i="3"/>
  <c r="F594" i="3"/>
  <c r="P398" i="3"/>
  <c r="O398" i="3"/>
  <c r="P397" i="3"/>
  <c r="O397" i="3"/>
  <c r="P395" i="3"/>
  <c r="O395" i="3"/>
  <c r="P394" i="3"/>
  <c r="O394" i="3"/>
  <c r="P396" i="3"/>
  <c r="O396" i="3"/>
  <c r="P393" i="3"/>
  <c r="O393" i="3"/>
  <c r="P392" i="3"/>
  <c r="O392" i="3"/>
  <c r="N398" i="3"/>
  <c r="M398" i="3"/>
  <c r="J398" i="3"/>
  <c r="I398" i="3"/>
  <c r="F398" i="3"/>
  <c r="N397" i="3"/>
  <c r="M397" i="3"/>
  <c r="J397" i="3"/>
  <c r="I397" i="3"/>
  <c r="F397" i="3"/>
  <c r="N396" i="3"/>
  <c r="M396" i="3"/>
  <c r="J396" i="3"/>
  <c r="I396" i="3"/>
  <c r="F396" i="3"/>
  <c r="N395" i="3"/>
  <c r="M395" i="3"/>
  <c r="J395" i="3"/>
  <c r="I395" i="3"/>
  <c r="F395" i="3"/>
  <c r="N394" i="3"/>
  <c r="M394" i="3"/>
  <c r="J394" i="3"/>
  <c r="I394" i="3"/>
  <c r="F394" i="3"/>
  <c r="N393" i="3"/>
  <c r="M393" i="3"/>
  <c r="J393" i="3"/>
  <c r="I393" i="3"/>
  <c r="F393" i="3"/>
  <c r="N392" i="3"/>
  <c r="M392" i="3"/>
  <c r="J392" i="3"/>
  <c r="I392" i="3"/>
  <c r="F392" i="3"/>
  <c r="P195" i="3"/>
  <c r="O195" i="3"/>
  <c r="P194" i="3"/>
  <c r="O194" i="3"/>
  <c r="O192" i="3"/>
  <c r="P192" i="3"/>
  <c r="P191" i="3"/>
  <c r="O191" i="3"/>
  <c r="P190" i="3"/>
  <c r="P193" i="3"/>
  <c r="O193" i="3"/>
  <c r="O190" i="3"/>
  <c r="P189" i="3"/>
  <c r="O189" i="3"/>
  <c r="N195" i="3"/>
  <c r="M195" i="3"/>
  <c r="J195" i="3"/>
  <c r="I195" i="3"/>
  <c r="F195" i="3"/>
  <c r="N194" i="3"/>
  <c r="M194" i="3"/>
  <c r="J194" i="3"/>
  <c r="I194" i="3"/>
  <c r="F194" i="3"/>
  <c r="N193" i="3"/>
  <c r="M193" i="3"/>
  <c r="J193" i="3"/>
  <c r="I193" i="3"/>
  <c r="F193" i="3"/>
  <c r="N192" i="3"/>
  <c r="M192" i="3"/>
  <c r="J192" i="3"/>
  <c r="I192" i="3"/>
  <c r="F192" i="3"/>
  <c r="N191" i="3"/>
  <c r="M191" i="3"/>
  <c r="J191" i="3"/>
  <c r="I191" i="3"/>
  <c r="F191" i="3"/>
  <c r="N190" i="3"/>
  <c r="M190" i="3"/>
  <c r="J190" i="3"/>
  <c r="I190" i="3"/>
  <c r="F190" i="3"/>
  <c r="N189" i="3"/>
  <c r="M189" i="3"/>
  <c r="J189" i="3"/>
  <c r="I189" i="3"/>
  <c r="F189" i="3"/>
  <c r="Q92" i="2"/>
  <c r="R91" i="2"/>
  <c r="B123" i="2" s="1"/>
  <c r="Q91" i="2"/>
  <c r="Z18" i="2"/>
  <c r="Z20" i="2" s="1"/>
  <c r="Z15" i="2"/>
  <c r="Z16" i="2" s="1"/>
  <c r="Y36" i="2"/>
  <c r="Y35" i="2"/>
  <c r="B125" i="2" l="1"/>
  <c r="N125" i="2"/>
  <c r="H125" i="2"/>
  <c r="C125" i="2"/>
  <c r="O125" i="2"/>
  <c r="G125" i="2"/>
  <c r="G124" i="2"/>
  <c r="D125" i="2"/>
  <c r="J125" i="2"/>
  <c r="O124" i="2"/>
  <c r="F125" i="2"/>
  <c r="K125" i="2"/>
  <c r="K124" i="2"/>
  <c r="L125" i="2"/>
  <c r="P125" i="2"/>
  <c r="M124" i="2"/>
  <c r="I124" i="2"/>
  <c r="E124" i="2"/>
  <c r="E125" i="2"/>
  <c r="I125" i="2"/>
  <c r="P124" i="2"/>
  <c r="L124" i="2"/>
  <c r="H124" i="2"/>
  <c r="D124" i="2"/>
  <c r="C124" i="2"/>
  <c r="N124" i="2"/>
  <c r="J124" i="2"/>
  <c r="F124" i="2"/>
  <c r="AB19" i="2"/>
  <c r="L123" i="2"/>
  <c r="I123" i="2"/>
  <c r="P123" i="2"/>
  <c r="H123" i="2"/>
  <c r="M123" i="2"/>
  <c r="E123" i="2"/>
  <c r="D123" i="2"/>
  <c r="O123" i="2"/>
  <c r="K123" i="2"/>
  <c r="G123" i="2"/>
  <c r="C123" i="2"/>
  <c r="N123" i="2"/>
  <c r="J123" i="2"/>
  <c r="F123" i="2"/>
  <c r="Z19" i="2"/>
  <c r="Z17" i="2"/>
  <c r="DH251" i="8"/>
  <c r="DG251" i="8"/>
  <c r="DH250" i="8"/>
  <c r="DG250" i="8"/>
  <c r="DH249" i="8"/>
  <c r="DG249" i="8"/>
  <c r="DH248" i="8"/>
  <c r="DG248" i="8"/>
  <c r="DH247" i="8"/>
  <c r="DG247" i="8"/>
  <c r="DH246" i="8"/>
  <c r="DG246" i="8"/>
  <c r="DH244" i="8"/>
  <c r="DG244" i="8"/>
  <c r="DH243" i="8"/>
  <c r="DG243" i="8"/>
  <c r="DH241" i="8"/>
  <c r="DG241" i="8"/>
  <c r="DG239" i="8"/>
  <c r="DH237" i="8"/>
  <c r="DG237" i="8"/>
  <c r="DH236" i="8"/>
  <c r="DG236" i="8"/>
  <c r="DH235" i="8"/>
  <c r="DG235" i="8"/>
  <c r="DH232" i="8"/>
  <c r="DG232" i="8"/>
  <c r="DH231" i="8"/>
  <c r="DG231" i="8"/>
  <c r="DH229" i="8"/>
  <c r="DG229" i="8"/>
  <c r="DH228" i="8"/>
  <c r="DG228" i="8"/>
  <c r="DH226" i="8"/>
  <c r="DG226" i="8"/>
  <c r="DH220" i="8"/>
  <c r="DG220" i="8"/>
  <c r="DH219" i="8"/>
  <c r="DG219" i="8"/>
  <c r="DH218" i="8"/>
  <c r="DG218" i="8"/>
  <c r="DH217" i="8"/>
  <c r="DG217" i="8"/>
  <c r="DH216" i="8"/>
  <c r="DG216" i="8"/>
  <c r="DH213" i="8"/>
  <c r="DG213" i="8"/>
  <c r="DH207" i="8"/>
  <c r="DG207" i="8"/>
  <c r="DH197" i="8"/>
  <c r="DG197" i="8"/>
  <c r="DH195" i="8"/>
  <c r="DG195" i="8"/>
  <c r="DH194" i="8"/>
  <c r="DG194" i="8"/>
  <c r="DH193" i="8"/>
  <c r="DG193" i="8"/>
  <c r="DH192" i="8"/>
  <c r="DG192" i="8"/>
  <c r="DH191" i="8"/>
  <c r="DG191" i="8"/>
  <c r="DH190" i="8"/>
  <c r="DG190" i="8"/>
  <c r="DH189" i="8"/>
  <c r="DG189" i="8"/>
  <c r="DH188" i="8"/>
  <c r="DG188" i="8"/>
  <c r="DH187" i="8"/>
  <c r="DG187" i="8"/>
  <c r="DH186" i="8"/>
  <c r="DG186" i="8"/>
  <c r="DH185" i="8"/>
  <c r="DG185" i="8"/>
  <c r="DH184" i="8"/>
  <c r="DG184" i="8"/>
  <c r="DH183" i="8"/>
  <c r="DG183" i="8"/>
  <c r="DH182" i="8"/>
  <c r="DG182" i="8"/>
  <c r="DH181" i="8"/>
  <c r="DG181" i="8"/>
  <c r="DH180" i="8"/>
  <c r="DG180" i="8"/>
  <c r="DH179" i="8"/>
  <c r="DG179" i="8"/>
  <c r="DH178" i="8"/>
  <c r="DG178" i="8"/>
  <c r="DH177" i="8"/>
  <c r="DG177" i="8"/>
  <c r="DH176" i="8"/>
  <c r="DG176" i="8"/>
  <c r="DH174" i="8"/>
  <c r="DG174" i="8"/>
  <c r="DH173" i="8"/>
  <c r="DG173" i="8"/>
  <c r="DH172" i="8"/>
  <c r="DG172" i="8"/>
  <c r="DH171" i="8"/>
  <c r="DG171" i="8"/>
  <c r="DH170" i="8"/>
  <c r="DG170" i="8"/>
  <c r="DH169" i="8"/>
  <c r="DG169" i="8"/>
  <c r="DH168" i="8"/>
  <c r="DG168" i="8"/>
  <c r="DH167" i="8"/>
  <c r="DG167" i="8"/>
  <c r="DH166" i="8"/>
  <c r="DG166" i="8"/>
  <c r="DH165" i="8"/>
  <c r="DG165" i="8"/>
  <c r="DH164" i="8"/>
  <c r="DG164" i="8"/>
  <c r="DH163" i="8"/>
  <c r="DG163" i="8"/>
  <c r="DH162" i="8"/>
  <c r="DG162" i="8"/>
  <c r="DH161" i="8"/>
  <c r="DG161" i="8"/>
  <c r="DH159" i="8"/>
  <c r="DG159" i="8"/>
  <c r="DH158" i="8"/>
  <c r="DG158" i="8"/>
  <c r="DH157" i="8"/>
  <c r="DG157" i="8"/>
  <c r="DH156" i="8"/>
  <c r="DG156" i="8"/>
  <c r="DH155" i="8"/>
  <c r="DG155" i="8"/>
  <c r="DH154" i="8"/>
  <c r="DG154" i="8"/>
  <c r="DH153" i="8"/>
  <c r="DG153" i="8"/>
  <c r="DH151" i="8"/>
  <c r="DG151" i="8"/>
  <c r="DH150" i="8"/>
  <c r="DG150" i="8"/>
  <c r="DH149" i="8"/>
  <c r="DG149" i="8"/>
  <c r="DH148" i="8"/>
  <c r="DG148" i="8"/>
  <c r="DH147" i="8"/>
  <c r="DG147" i="8"/>
  <c r="DH146" i="8"/>
  <c r="DG146" i="8"/>
  <c r="DH145" i="8"/>
  <c r="DG145" i="8"/>
  <c r="DH144" i="8"/>
  <c r="DG144" i="8"/>
  <c r="DH143" i="8"/>
  <c r="DG143" i="8"/>
  <c r="DH140" i="8"/>
  <c r="DG140" i="8"/>
  <c r="DH139" i="8"/>
  <c r="DG139" i="8"/>
  <c r="DH138" i="8"/>
  <c r="DG138" i="8"/>
  <c r="DH137" i="8"/>
  <c r="DG137" i="8"/>
  <c r="DH136" i="8"/>
  <c r="DG136" i="8"/>
  <c r="DH135" i="8"/>
  <c r="DG135" i="8"/>
  <c r="DH134" i="8"/>
  <c r="DG134" i="8"/>
  <c r="DH133" i="8"/>
  <c r="DG133" i="8"/>
  <c r="DH132" i="8"/>
  <c r="DG132" i="8"/>
  <c r="DH130" i="8"/>
  <c r="DG130" i="8"/>
  <c r="DH129" i="8"/>
  <c r="DG129" i="8"/>
  <c r="DH128" i="8"/>
  <c r="DG128" i="8"/>
  <c r="DH127" i="8"/>
  <c r="DG127" i="8"/>
  <c r="DH126" i="8"/>
  <c r="DG126" i="8"/>
  <c r="DH125" i="8"/>
  <c r="DG125" i="8"/>
  <c r="DH124" i="8"/>
  <c r="DG124" i="8"/>
  <c r="DH123" i="8"/>
  <c r="DG123" i="8"/>
  <c r="DH121" i="8"/>
  <c r="DG121" i="8"/>
  <c r="DH120" i="8"/>
  <c r="DG120" i="8"/>
  <c r="DH119" i="8"/>
  <c r="DG119" i="8"/>
  <c r="DH118" i="8"/>
  <c r="DG118" i="8"/>
  <c r="DH117" i="8"/>
  <c r="DG117" i="8"/>
  <c r="DH116" i="8"/>
  <c r="DG116" i="8"/>
  <c r="DH115" i="8"/>
  <c r="DG115" i="8"/>
  <c r="DH114" i="8"/>
  <c r="DG114" i="8"/>
  <c r="DH112" i="8"/>
  <c r="DG112" i="8"/>
  <c r="DH111" i="8"/>
  <c r="DG111" i="8"/>
  <c r="DH110" i="8"/>
  <c r="DG110" i="8"/>
  <c r="DH109" i="8"/>
  <c r="DG109" i="8"/>
  <c r="DH108" i="8"/>
  <c r="DG108" i="8"/>
  <c r="DH107" i="8"/>
  <c r="DG107" i="8"/>
  <c r="DH106" i="8"/>
  <c r="DG106" i="8"/>
  <c r="DH105" i="8"/>
  <c r="DG105" i="8"/>
  <c r="DH104" i="8"/>
  <c r="DG104" i="8"/>
  <c r="DH103" i="8"/>
  <c r="DG103" i="8"/>
  <c r="DH102" i="8"/>
  <c r="DG102" i="8"/>
  <c r="DH101" i="8"/>
  <c r="DG101" i="8"/>
  <c r="DH100" i="8"/>
  <c r="DG100" i="8"/>
  <c r="DH99" i="8"/>
  <c r="DG99" i="8"/>
  <c r="DH98" i="8"/>
  <c r="DG98" i="8"/>
  <c r="DH97" i="8"/>
  <c r="DG97" i="8"/>
  <c r="DH96" i="8"/>
  <c r="DG96" i="8"/>
  <c r="DH95" i="8"/>
  <c r="DG95" i="8"/>
  <c r="DH94" i="8"/>
  <c r="DG94" i="8"/>
  <c r="DH93" i="8"/>
  <c r="DG93" i="8"/>
  <c r="DH92" i="8"/>
  <c r="DG92" i="8"/>
  <c r="DH91" i="8"/>
  <c r="DG91" i="8"/>
  <c r="DH90" i="8"/>
  <c r="DG90" i="8"/>
  <c r="DH89" i="8"/>
  <c r="DG89" i="8"/>
  <c r="DH88" i="8"/>
  <c r="DG88" i="8"/>
  <c r="DH87" i="8"/>
  <c r="DG87" i="8"/>
  <c r="DH86" i="8"/>
  <c r="DG86" i="8"/>
  <c r="DH85" i="8"/>
  <c r="DG85" i="8"/>
  <c r="DH84" i="8"/>
  <c r="DG84" i="8"/>
  <c r="DH83" i="8"/>
  <c r="DG83" i="8"/>
  <c r="DH82" i="8"/>
  <c r="DG82" i="8"/>
  <c r="DH80" i="8"/>
  <c r="DG80" i="8"/>
  <c r="DH79" i="8"/>
  <c r="DG79" i="8"/>
  <c r="DH78" i="8"/>
  <c r="DG78" i="8"/>
  <c r="DH77" i="8"/>
  <c r="DG77" i="8"/>
  <c r="DH76" i="8"/>
  <c r="DG76" i="8"/>
  <c r="DH74" i="8"/>
  <c r="DG74" i="8"/>
  <c r="DH73" i="8"/>
  <c r="DG73" i="8"/>
  <c r="DH72" i="8"/>
  <c r="DG72" i="8"/>
  <c r="DH71" i="8"/>
  <c r="DG71" i="8"/>
  <c r="DH70" i="8"/>
  <c r="DG70" i="8"/>
  <c r="DH69" i="8"/>
  <c r="DG69" i="8"/>
  <c r="DH68" i="8"/>
  <c r="DG68" i="8"/>
  <c r="DH66" i="8"/>
  <c r="DG66" i="8"/>
  <c r="DH65" i="8"/>
  <c r="DG65" i="8"/>
  <c r="DH64" i="8"/>
  <c r="DG64" i="8"/>
  <c r="DH63" i="8"/>
  <c r="DG63" i="8"/>
  <c r="DH62" i="8"/>
  <c r="DG62" i="8"/>
  <c r="DH61" i="8"/>
  <c r="DG61" i="8"/>
  <c r="DH60" i="8"/>
  <c r="DG60" i="8"/>
  <c r="DH59" i="8"/>
  <c r="DG59" i="8"/>
  <c r="DH58" i="8"/>
  <c r="DG58" i="8"/>
  <c r="DH57" i="8"/>
  <c r="DG57" i="8"/>
  <c r="DH56" i="8"/>
  <c r="DG56" i="8"/>
  <c r="DH55" i="8"/>
  <c r="DG55" i="8"/>
  <c r="DH54" i="8"/>
  <c r="DG54" i="8"/>
  <c r="DH53" i="8"/>
  <c r="DG53" i="8"/>
  <c r="DH52" i="8"/>
  <c r="DG52" i="8"/>
  <c r="DH51" i="8"/>
  <c r="DG51" i="8"/>
  <c r="DH50" i="8"/>
  <c r="DG50" i="8"/>
  <c r="DH49" i="8"/>
  <c r="DG49" i="8"/>
  <c r="DH48" i="8"/>
  <c r="DG48" i="8"/>
  <c r="DH47" i="8"/>
  <c r="DG47" i="8"/>
  <c r="DH46" i="8"/>
  <c r="DG46" i="8"/>
  <c r="DH45" i="8"/>
  <c r="DG45" i="8"/>
  <c r="DH44" i="8"/>
  <c r="DG44" i="8"/>
  <c r="DH42" i="8"/>
  <c r="DG42" i="8"/>
  <c r="DH41" i="8"/>
  <c r="DG41" i="8"/>
  <c r="DH40" i="8"/>
  <c r="DG40" i="8"/>
  <c r="DH39" i="8"/>
  <c r="DG39" i="8"/>
  <c r="DH38" i="8"/>
  <c r="DG38" i="8"/>
  <c r="DH37" i="8"/>
  <c r="DG37" i="8"/>
  <c r="DH36" i="8"/>
  <c r="DG36" i="8"/>
  <c r="DH35" i="8"/>
  <c r="DG35" i="8"/>
  <c r="DH34" i="8"/>
  <c r="DG34" i="8"/>
  <c r="DH32" i="8"/>
  <c r="DG32" i="8"/>
  <c r="DH31" i="8"/>
  <c r="DG31" i="8"/>
  <c r="DH30" i="8"/>
  <c r="DG30" i="8"/>
  <c r="DH29" i="8"/>
  <c r="DG29" i="8"/>
  <c r="DH28" i="8"/>
  <c r="DG28" i="8"/>
  <c r="DH27" i="8"/>
  <c r="DG27" i="8"/>
  <c r="DH26" i="8"/>
  <c r="DG26" i="8"/>
  <c r="DH25" i="8"/>
  <c r="DG25" i="8"/>
  <c r="DH24" i="8"/>
  <c r="DG24" i="8"/>
  <c r="DH23" i="8"/>
  <c r="DG23" i="8"/>
  <c r="DH22" i="8"/>
  <c r="DG22" i="8"/>
  <c r="DH21" i="8"/>
  <c r="DG21" i="8"/>
  <c r="DH20" i="8"/>
  <c r="DG20" i="8"/>
  <c r="DH19" i="8"/>
  <c r="DG19" i="8"/>
  <c r="DH18" i="8"/>
  <c r="DG18" i="8"/>
  <c r="DH17" i="8"/>
  <c r="DG17" i="8"/>
  <c r="DH16" i="8"/>
  <c r="DG16" i="8"/>
  <c r="DH15" i="8"/>
  <c r="DG15" i="8"/>
  <c r="DH14" i="8"/>
  <c r="DG14" i="8"/>
  <c r="DH13" i="8"/>
  <c r="DG13" i="8"/>
  <c r="DH12" i="8"/>
  <c r="DG12" i="8"/>
  <c r="DH11" i="8"/>
  <c r="DG11" i="8"/>
  <c r="DH10" i="8"/>
  <c r="DG10" i="8"/>
  <c r="DH9" i="8"/>
  <c r="DG9" i="8"/>
  <c r="DH8" i="8"/>
  <c r="DG8" i="8"/>
  <c r="DH7" i="8"/>
  <c r="DG7" i="8"/>
  <c r="DH6" i="8"/>
  <c r="DG6" i="8"/>
  <c r="DH5" i="8"/>
  <c r="DG5" i="8"/>
  <c r="P78" i="7"/>
  <c r="P77" i="7"/>
  <c r="O78" i="7"/>
  <c r="N78" i="7"/>
  <c r="M78" i="7"/>
  <c r="J78" i="7"/>
  <c r="G78" i="7"/>
  <c r="E78" i="7"/>
  <c r="AQ87" i="7" s="1"/>
  <c r="O77" i="7"/>
  <c r="N77" i="7"/>
  <c r="M77" i="7"/>
  <c r="J77" i="7"/>
  <c r="G77" i="7"/>
  <c r="E77" i="7"/>
  <c r="AQ86" i="7" s="1"/>
  <c r="Z17" i="6"/>
  <c r="Z16" i="6"/>
  <c r="Z15" i="6"/>
  <c r="Z14" i="6"/>
  <c r="Z13" i="6"/>
  <c r="Z12" i="6"/>
  <c r="Z11" i="6"/>
  <c r="Z10" i="6"/>
  <c r="Z9" i="6"/>
  <c r="Z8" i="6"/>
  <c r="Z7" i="6"/>
  <c r="Z6" i="6"/>
  <c r="Z5" i="6"/>
  <c r="Z4" i="6"/>
  <c r="O591" i="3"/>
  <c r="P591" i="3"/>
  <c r="P590" i="3"/>
  <c r="O590" i="3"/>
  <c r="O588" i="3"/>
  <c r="P588" i="3"/>
  <c r="P587" i="3"/>
  <c r="O587" i="3"/>
  <c r="P586" i="3"/>
  <c r="O586" i="3"/>
  <c r="P390" i="3"/>
  <c r="O390" i="3"/>
  <c r="P389" i="3"/>
  <c r="O389" i="3"/>
  <c r="P387" i="3"/>
  <c r="O387" i="3"/>
  <c r="P386" i="3"/>
  <c r="O386" i="3"/>
  <c r="P388" i="3"/>
  <c r="O388" i="3"/>
  <c r="P385" i="3"/>
  <c r="O385" i="3"/>
  <c r="P384" i="3"/>
  <c r="O384" i="3"/>
  <c r="N390" i="3"/>
  <c r="M390" i="3"/>
  <c r="J390" i="3"/>
  <c r="I390" i="3"/>
  <c r="F390" i="3"/>
  <c r="N389" i="3"/>
  <c r="M389" i="3"/>
  <c r="J389" i="3"/>
  <c r="I389" i="3"/>
  <c r="F389" i="3"/>
  <c r="N388" i="3"/>
  <c r="M388" i="3"/>
  <c r="J388" i="3"/>
  <c r="I388" i="3"/>
  <c r="F388" i="3"/>
  <c r="N387" i="3"/>
  <c r="M387" i="3"/>
  <c r="J387" i="3"/>
  <c r="I387" i="3"/>
  <c r="F387" i="3"/>
  <c r="N386" i="3"/>
  <c r="M386" i="3"/>
  <c r="J386" i="3"/>
  <c r="I386" i="3"/>
  <c r="F386" i="3"/>
  <c r="N385" i="3"/>
  <c r="M385" i="3"/>
  <c r="J385" i="3"/>
  <c r="I385" i="3"/>
  <c r="F385" i="3"/>
  <c r="N384" i="3"/>
  <c r="M384" i="3"/>
  <c r="J384" i="3"/>
  <c r="I384" i="3"/>
  <c r="F384" i="3"/>
  <c r="P187" i="3"/>
  <c r="O187" i="3"/>
  <c r="P186" i="3"/>
  <c r="O186" i="3"/>
  <c r="P184" i="3"/>
  <c r="O184" i="3"/>
  <c r="P183" i="3"/>
  <c r="O183" i="3"/>
  <c r="P185" i="3"/>
  <c r="O185" i="3"/>
  <c r="P182" i="3"/>
  <c r="O182" i="3"/>
  <c r="P181" i="3"/>
  <c r="O181" i="3"/>
  <c r="N187" i="3"/>
  <c r="M187" i="3"/>
  <c r="J187" i="3"/>
  <c r="I187" i="3"/>
  <c r="F187" i="3"/>
  <c r="N186" i="3"/>
  <c r="M186" i="3"/>
  <c r="J186" i="3"/>
  <c r="I186" i="3"/>
  <c r="F186" i="3"/>
  <c r="N185" i="3"/>
  <c r="M185" i="3"/>
  <c r="J185" i="3"/>
  <c r="I185" i="3"/>
  <c r="F185" i="3"/>
  <c r="N184" i="3"/>
  <c r="M184" i="3"/>
  <c r="J184" i="3"/>
  <c r="I184" i="3"/>
  <c r="F184" i="3"/>
  <c r="N183" i="3"/>
  <c r="M183" i="3"/>
  <c r="J183" i="3"/>
  <c r="I183" i="3"/>
  <c r="F183" i="3"/>
  <c r="N182" i="3"/>
  <c r="M182" i="3"/>
  <c r="J182" i="3"/>
  <c r="I182" i="3"/>
  <c r="F182" i="3"/>
  <c r="N181" i="3"/>
  <c r="M181" i="3"/>
  <c r="J181" i="3"/>
  <c r="I181" i="3"/>
  <c r="F181" i="3"/>
  <c r="N591" i="3"/>
  <c r="M591" i="3"/>
  <c r="J591" i="3"/>
  <c r="I591" i="3"/>
  <c r="F591" i="3"/>
  <c r="N590" i="3"/>
  <c r="M590" i="3"/>
  <c r="J590" i="3"/>
  <c r="I590" i="3"/>
  <c r="F590" i="3"/>
  <c r="N588" i="3"/>
  <c r="M588" i="3"/>
  <c r="J588" i="3"/>
  <c r="I588" i="3"/>
  <c r="F588" i="3"/>
  <c r="N587" i="3"/>
  <c r="M587" i="3"/>
  <c r="J587" i="3"/>
  <c r="I587" i="3"/>
  <c r="F587" i="3"/>
  <c r="N586" i="3"/>
  <c r="M586" i="3"/>
  <c r="J586" i="3"/>
  <c r="I586" i="3"/>
  <c r="F586" i="3"/>
  <c r="AA34" i="2"/>
  <c r="AA33" i="2"/>
  <c r="AA31" i="2"/>
  <c r="AA30" i="2"/>
  <c r="AA18" i="2"/>
  <c r="AA20" i="2" s="1"/>
  <c r="AA16" i="2"/>
  <c r="R90" i="2"/>
  <c r="P122" i="2" s="1"/>
  <c r="CY251" i="8"/>
  <c r="CX251" i="8"/>
  <c r="CY250" i="8"/>
  <c r="CX250" i="8"/>
  <c r="CY249" i="8"/>
  <c r="CX249" i="8"/>
  <c r="CY248" i="8"/>
  <c r="CX248" i="8"/>
  <c r="CY247" i="8"/>
  <c r="CX247" i="8"/>
  <c r="CY246" i="8"/>
  <c r="CX246" i="8"/>
  <c r="CY244" i="8"/>
  <c r="CX244" i="8"/>
  <c r="CY243" i="8"/>
  <c r="CX243" i="8"/>
  <c r="CY241" i="8"/>
  <c r="CX241" i="8"/>
  <c r="CY239" i="8"/>
  <c r="CX239" i="8"/>
  <c r="CY237" i="8"/>
  <c r="CX237" i="8"/>
  <c r="CY236" i="8"/>
  <c r="CX236" i="8"/>
  <c r="CY235" i="8"/>
  <c r="CX235" i="8"/>
  <c r="CY234" i="8"/>
  <c r="CX234" i="8"/>
  <c r="CY232" i="8"/>
  <c r="CX232" i="8"/>
  <c r="CY231" i="8"/>
  <c r="CX231" i="8"/>
  <c r="CY229" i="8"/>
  <c r="CX229" i="8"/>
  <c r="CY228" i="8"/>
  <c r="CX228" i="8"/>
  <c r="CY226" i="8"/>
  <c r="CX226" i="8"/>
  <c r="CY225" i="8"/>
  <c r="CX225" i="8"/>
  <c r="CY220" i="8"/>
  <c r="CX220" i="8"/>
  <c r="CY219" i="8"/>
  <c r="CX219" i="8"/>
  <c r="CY218" i="8"/>
  <c r="CX218" i="8"/>
  <c r="CY217" i="8"/>
  <c r="CX217" i="8"/>
  <c r="CY216" i="8"/>
  <c r="CX216" i="8"/>
  <c r="CY213" i="8"/>
  <c r="CX213" i="8"/>
  <c r="CY209" i="8"/>
  <c r="CX209" i="8"/>
  <c r="CY207" i="8"/>
  <c r="CX207" i="8"/>
  <c r="CY197" i="8"/>
  <c r="CX197" i="8"/>
  <c r="CY195" i="8"/>
  <c r="CX195" i="8"/>
  <c r="CY194" i="8"/>
  <c r="CX194" i="8"/>
  <c r="CY193" i="8"/>
  <c r="CX193" i="8"/>
  <c r="CY192" i="8"/>
  <c r="CX192" i="8"/>
  <c r="CY191" i="8"/>
  <c r="CX191" i="8"/>
  <c r="CY190" i="8"/>
  <c r="CX190" i="8"/>
  <c r="CY189" i="8"/>
  <c r="CX189" i="8"/>
  <c r="CY188" i="8"/>
  <c r="CX188" i="8"/>
  <c r="CY187" i="8"/>
  <c r="CX187" i="8"/>
  <c r="CY186" i="8"/>
  <c r="CX186" i="8"/>
  <c r="CY185" i="8"/>
  <c r="CX185" i="8"/>
  <c r="CY184" i="8"/>
  <c r="CX184" i="8"/>
  <c r="CY183" i="8"/>
  <c r="CX183" i="8"/>
  <c r="CY182" i="8"/>
  <c r="CX182" i="8"/>
  <c r="CY181" i="8"/>
  <c r="CX181" i="8"/>
  <c r="CY180" i="8"/>
  <c r="CX180" i="8"/>
  <c r="CY179" i="8"/>
  <c r="CX179" i="8"/>
  <c r="CY178" i="8"/>
  <c r="CX178" i="8"/>
  <c r="CY177" i="8"/>
  <c r="CX177" i="8"/>
  <c r="CY176" i="8"/>
  <c r="CX176" i="8"/>
  <c r="CY174" i="8"/>
  <c r="CX174" i="8"/>
  <c r="CY173" i="8"/>
  <c r="CX173" i="8"/>
  <c r="CY172" i="8"/>
  <c r="CX172" i="8"/>
  <c r="CY171" i="8"/>
  <c r="CX171" i="8"/>
  <c r="CY170" i="8"/>
  <c r="CX170" i="8"/>
  <c r="CY169" i="8"/>
  <c r="CX169" i="8"/>
  <c r="CY168" i="8"/>
  <c r="CX168" i="8"/>
  <c r="CY167" i="8"/>
  <c r="CX167" i="8"/>
  <c r="CY166" i="8"/>
  <c r="CX166" i="8"/>
  <c r="CY165" i="8"/>
  <c r="CX165" i="8"/>
  <c r="CY164" i="8"/>
  <c r="CX164" i="8"/>
  <c r="CY163" i="8"/>
  <c r="CX163" i="8"/>
  <c r="CY162" i="8"/>
  <c r="CX162" i="8"/>
  <c r="CY161" i="8"/>
  <c r="CX161" i="8"/>
  <c r="CY159" i="8"/>
  <c r="CX159" i="8"/>
  <c r="CY158" i="8"/>
  <c r="CX158" i="8"/>
  <c r="CY157" i="8"/>
  <c r="CX157" i="8"/>
  <c r="CY156" i="8"/>
  <c r="CX156" i="8"/>
  <c r="CY155" i="8"/>
  <c r="CX155" i="8"/>
  <c r="CY154" i="8"/>
  <c r="CX154" i="8"/>
  <c r="CY153" i="8"/>
  <c r="CX153" i="8"/>
  <c r="CY151" i="8"/>
  <c r="CX151" i="8"/>
  <c r="CY150" i="8"/>
  <c r="CX150" i="8"/>
  <c r="CY149" i="8"/>
  <c r="CX149" i="8"/>
  <c r="CY148" i="8"/>
  <c r="CX148" i="8"/>
  <c r="CY147" i="8"/>
  <c r="CX147" i="8"/>
  <c r="CY146" i="8"/>
  <c r="CX146" i="8"/>
  <c r="CY145" i="8"/>
  <c r="CX145" i="8"/>
  <c r="CY144" i="8"/>
  <c r="CX144" i="8"/>
  <c r="CY143" i="8"/>
  <c r="CX143" i="8"/>
  <c r="CY140" i="8"/>
  <c r="CX140" i="8"/>
  <c r="CY139" i="8"/>
  <c r="CX139" i="8"/>
  <c r="CY138" i="8"/>
  <c r="CX138" i="8"/>
  <c r="CY137" i="8"/>
  <c r="CX137" i="8"/>
  <c r="CY136" i="8"/>
  <c r="CX136" i="8"/>
  <c r="CY135" i="8"/>
  <c r="CX135" i="8"/>
  <c r="CY134" i="8"/>
  <c r="CX134" i="8"/>
  <c r="CY133" i="8"/>
  <c r="CX133" i="8"/>
  <c r="CY132" i="8"/>
  <c r="CX132" i="8"/>
  <c r="CY130" i="8"/>
  <c r="CX130" i="8"/>
  <c r="CY129" i="8"/>
  <c r="CX129" i="8"/>
  <c r="CY128" i="8"/>
  <c r="CX128" i="8"/>
  <c r="CY127" i="8"/>
  <c r="CX127" i="8"/>
  <c r="CY126" i="8"/>
  <c r="CX126" i="8"/>
  <c r="CY125" i="8"/>
  <c r="CX125" i="8"/>
  <c r="CY124" i="8"/>
  <c r="CX124" i="8"/>
  <c r="CY123" i="8"/>
  <c r="CX123" i="8"/>
  <c r="CY121" i="8"/>
  <c r="CX121" i="8"/>
  <c r="CY120" i="8"/>
  <c r="CX120" i="8"/>
  <c r="CY119" i="8"/>
  <c r="CX119" i="8"/>
  <c r="CY118" i="8"/>
  <c r="CX118" i="8"/>
  <c r="CY117" i="8"/>
  <c r="CX117" i="8"/>
  <c r="CY116" i="8"/>
  <c r="CX116" i="8"/>
  <c r="CY115" i="8"/>
  <c r="CX115" i="8"/>
  <c r="CY114" i="8"/>
  <c r="CX114" i="8"/>
  <c r="CY112" i="8"/>
  <c r="CX112" i="8"/>
  <c r="CY111" i="8"/>
  <c r="CX111" i="8"/>
  <c r="CY110" i="8"/>
  <c r="CX110" i="8"/>
  <c r="CY109" i="8"/>
  <c r="CX109" i="8"/>
  <c r="CY108" i="8"/>
  <c r="CX108" i="8"/>
  <c r="CY107" i="8"/>
  <c r="CX107" i="8"/>
  <c r="CY106" i="8"/>
  <c r="CX106" i="8"/>
  <c r="CY105" i="8"/>
  <c r="CX105" i="8"/>
  <c r="CY104" i="8"/>
  <c r="CX104" i="8"/>
  <c r="CY103" i="8"/>
  <c r="CX103" i="8"/>
  <c r="CY102" i="8"/>
  <c r="CX102" i="8"/>
  <c r="CY101" i="8"/>
  <c r="CX101" i="8"/>
  <c r="CY100" i="8"/>
  <c r="CX100" i="8"/>
  <c r="CY99" i="8"/>
  <c r="CX99" i="8"/>
  <c r="CY98" i="8"/>
  <c r="CX98" i="8"/>
  <c r="CY97" i="8"/>
  <c r="CX97" i="8"/>
  <c r="CY96" i="8"/>
  <c r="CX96" i="8"/>
  <c r="CY95" i="8"/>
  <c r="CX95" i="8"/>
  <c r="CY94" i="8"/>
  <c r="CX94" i="8"/>
  <c r="CY93" i="8"/>
  <c r="CX93" i="8"/>
  <c r="CY92" i="8"/>
  <c r="CX92" i="8"/>
  <c r="CY91" i="8"/>
  <c r="CX91" i="8"/>
  <c r="CY90" i="8"/>
  <c r="CX90" i="8"/>
  <c r="CY89" i="8"/>
  <c r="CX89" i="8"/>
  <c r="CY88" i="8"/>
  <c r="CX88" i="8"/>
  <c r="CY87" i="8"/>
  <c r="CX87" i="8"/>
  <c r="CY86" i="8"/>
  <c r="CX86" i="8"/>
  <c r="CY85" i="8"/>
  <c r="CX85" i="8"/>
  <c r="CY84" i="8"/>
  <c r="CX84" i="8"/>
  <c r="CY83" i="8"/>
  <c r="CX83" i="8"/>
  <c r="CY82" i="8"/>
  <c r="CX82" i="8"/>
  <c r="CY80" i="8"/>
  <c r="CX80" i="8"/>
  <c r="CY79" i="8"/>
  <c r="CX79" i="8"/>
  <c r="CY78" i="8"/>
  <c r="CX78" i="8"/>
  <c r="CY77" i="8"/>
  <c r="CX77" i="8"/>
  <c r="CY76" i="8"/>
  <c r="CX76" i="8"/>
  <c r="CY74" i="8"/>
  <c r="CX74" i="8"/>
  <c r="CY73" i="8"/>
  <c r="CX73" i="8"/>
  <c r="CY72" i="8"/>
  <c r="CX72" i="8"/>
  <c r="CY71" i="8"/>
  <c r="CX71" i="8"/>
  <c r="CY70" i="8"/>
  <c r="CX70" i="8"/>
  <c r="CY69" i="8"/>
  <c r="CX69" i="8"/>
  <c r="CY68" i="8"/>
  <c r="CX68" i="8"/>
  <c r="CY66" i="8"/>
  <c r="CX66" i="8"/>
  <c r="CY65" i="8"/>
  <c r="CX65" i="8"/>
  <c r="CY64" i="8"/>
  <c r="CX64" i="8"/>
  <c r="CY63" i="8"/>
  <c r="CX63" i="8"/>
  <c r="CY62" i="8"/>
  <c r="CX62" i="8"/>
  <c r="CY61" i="8"/>
  <c r="CX61" i="8"/>
  <c r="CY60" i="8"/>
  <c r="CX60" i="8"/>
  <c r="CY59" i="8"/>
  <c r="CX59" i="8"/>
  <c r="CY58" i="8"/>
  <c r="CX58" i="8"/>
  <c r="CY57" i="8"/>
  <c r="CX57" i="8"/>
  <c r="CY56" i="8"/>
  <c r="CX56" i="8"/>
  <c r="CY55" i="8"/>
  <c r="CX55" i="8"/>
  <c r="CY54" i="8"/>
  <c r="CX54" i="8"/>
  <c r="CY53" i="8"/>
  <c r="CX53" i="8"/>
  <c r="CY52" i="8"/>
  <c r="CX52" i="8"/>
  <c r="CY51" i="8"/>
  <c r="CX51" i="8"/>
  <c r="CY50" i="8"/>
  <c r="CX50" i="8"/>
  <c r="CY49" i="8"/>
  <c r="CX49" i="8"/>
  <c r="CY48" i="8"/>
  <c r="CX48" i="8"/>
  <c r="CY47" i="8"/>
  <c r="CX47" i="8"/>
  <c r="CY46" i="8"/>
  <c r="CX46" i="8"/>
  <c r="CY45" i="8"/>
  <c r="CX45" i="8"/>
  <c r="CY44" i="8"/>
  <c r="CX44" i="8"/>
  <c r="CY42" i="8"/>
  <c r="CX42" i="8"/>
  <c r="CY41" i="8"/>
  <c r="CX41" i="8"/>
  <c r="CY40" i="8"/>
  <c r="CX40" i="8"/>
  <c r="CY39" i="8"/>
  <c r="CX39" i="8"/>
  <c r="CY38" i="8"/>
  <c r="CX38" i="8"/>
  <c r="CY37" i="8"/>
  <c r="CX37" i="8"/>
  <c r="CY36" i="8"/>
  <c r="CX36" i="8"/>
  <c r="CY35" i="8"/>
  <c r="CX35" i="8"/>
  <c r="CY34" i="8"/>
  <c r="CX34" i="8"/>
  <c r="CY32" i="8"/>
  <c r="CX32" i="8"/>
  <c r="CY31" i="8"/>
  <c r="CX31" i="8"/>
  <c r="CY30" i="8"/>
  <c r="CX30" i="8"/>
  <c r="CY29" i="8"/>
  <c r="CX29" i="8"/>
  <c r="CY28" i="8"/>
  <c r="CX28" i="8"/>
  <c r="CY27" i="8"/>
  <c r="CX27" i="8"/>
  <c r="CY26" i="8"/>
  <c r="CX26" i="8"/>
  <c r="CY25" i="8"/>
  <c r="CX25" i="8"/>
  <c r="CY24" i="8"/>
  <c r="CX24" i="8"/>
  <c r="CY23" i="8"/>
  <c r="CX23" i="8"/>
  <c r="CY22" i="8"/>
  <c r="CX22" i="8"/>
  <c r="CY21" i="8"/>
  <c r="CX21" i="8"/>
  <c r="CY20" i="8"/>
  <c r="CX20" i="8"/>
  <c r="CY19" i="8"/>
  <c r="CX19" i="8"/>
  <c r="CY18" i="8"/>
  <c r="CX18" i="8"/>
  <c r="CY17" i="8"/>
  <c r="CX17" i="8"/>
  <c r="CY16" i="8"/>
  <c r="CX16" i="8"/>
  <c r="CY15" i="8"/>
  <c r="CX15" i="8"/>
  <c r="CY14" i="8"/>
  <c r="CX14" i="8"/>
  <c r="CY13" i="8"/>
  <c r="CX13" i="8"/>
  <c r="CY12" i="8"/>
  <c r="CX12" i="8"/>
  <c r="CY11" i="8"/>
  <c r="CX11" i="8"/>
  <c r="CY10" i="8"/>
  <c r="CX10" i="8"/>
  <c r="CY9" i="8"/>
  <c r="CX9" i="8"/>
  <c r="CY8" i="8"/>
  <c r="CX8" i="8"/>
  <c r="CY7" i="8"/>
  <c r="CX7" i="8"/>
  <c r="CY6" i="8"/>
  <c r="CX6" i="8"/>
  <c r="CY5" i="8"/>
  <c r="CX5" i="8"/>
  <c r="P75" i="7"/>
  <c r="P74" i="7"/>
  <c r="O75" i="7"/>
  <c r="N75" i="7"/>
  <c r="M75" i="7"/>
  <c r="J75" i="7"/>
  <c r="G75" i="7"/>
  <c r="E75" i="7"/>
  <c r="AP87" i="7" s="1"/>
  <c r="O74" i="7"/>
  <c r="N74" i="7"/>
  <c r="M74" i="7"/>
  <c r="J74" i="7"/>
  <c r="G74" i="7"/>
  <c r="E74" i="7"/>
  <c r="AP86" i="7" s="1"/>
  <c r="Y17" i="6"/>
  <c r="Y16" i="6"/>
  <c r="Y15" i="6"/>
  <c r="Y14" i="6"/>
  <c r="Y13" i="6"/>
  <c r="Y12" i="6"/>
  <c r="Y11" i="6"/>
  <c r="Y10" i="6"/>
  <c r="Y9" i="6"/>
  <c r="Y8" i="6"/>
  <c r="Y7" i="6"/>
  <c r="Y6" i="6"/>
  <c r="Y5" i="6"/>
  <c r="Y4" i="6"/>
  <c r="N583" i="3"/>
  <c r="M583" i="3"/>
  <c r="J583" i="3"/>
  <c r="I583" i="3"/>
  <c r="F583" i="3"/>
  <c r="N582" i="3"/>
  <c r="M582" i="3"/>
  <c r="J582" i="3"/>
  <c r="I582" i="3"/>
  <c r="F582" i="3"/>
  <c r="N580" i="3"/>
  <c r="M580" i="3"/>
  <c r="J580" i="3"/>
  <c r="I580" i="3"/>
  <c r="F580" i="3"/>
  <c r="N579" i="3"/>
  <c r="M579" i="3"/>
  <c r="J579" i="3"/>
  <c r="I579" i="3"/>
  <c r="F579" i="3"/>
  <c r="N578" i="3"/>
  <c r="M578" i="3"/>
  <c r="J578" i="3"/>
  <c r="I578" i="3"/>
  <c r="F578" i="3"/>
  <c r="N382" i="3"/>
  <c r="M382" i="3"/>
  <c r="N381" i="3"/>
  <c r="M381" i="3"/>
  <c r="N380" i="3"/>
  <c r="M380" i="3"/>
  <c r="N379" i="3"/>
  <c r="M379" i="3"/>
  <c r="N378" i="3"/>
  <c r="M378" i="3"/>
  <c r="N377" i="3"/>
  <c r="M377" i="3"/>
  <c r="N376" i="3"/>
  <c r="M376" i="3"/>
  <c r="J382" i="3"/>
  <c r="I382" i="3"/>
  <c r="J381" i="3"/>
  <c r="I381" i="3"/>
  <c r="J380" i="3"/>
  <c r="I380" i="3"/>
  <c r="J379" i="3"/>
  <c r="I379" i="3"/>
  <c r="J378" i="3"/>
  <c r="I378" i="3"/>
  <c r="J377" i="3"/>
  <c r="I377" i="3"/>
  <c r="J376" i="3"/>
  <c r="I376" i="3"/>
  <c r="F382" i="3"/>
  <c r="F381" i="3"/>
  <c r="F380" i="3"/>
  <c r="F379" i="3"/>
  <c r="F378" i="3"/>
  <c r="F377" i="3"/>
  <c r="F376" i="3"/>
  <c r="N179" i="3"/>
  <c r="M179" i="3"/>
  <c r="N178" i="3"/>
  <c r="M178" i="3"/>
  <c r="N177" i="3"/>
  <c r="M177" i="3"/>
  <c r="N176" i="3"/>
  <c r="M176" i="3"/>
  <c r="N175" i="3"/>
  <c r="M175" i="3"/>
  <c r="N174" i="3"/>
  <c r="M174" i="3"/>
  <c r="N173" i="3"/>
  <c r="M173" i="3"/>
  <c r="J179" i="3"/>
  <c r="I179" i="3"/>
  <c r="J178" i="3"/>
  <c r="I178" i="3"/>
  <c r="J177" i="3"/>
  <c r="I177" i="3"/>
  <c r="J176" i="3"/>
  <c r="I176" i="3"/>
  <c r="J175" i="3"/>
  <c r="I175" i="3"/>
  <c r="J174" i="3"/>
  <c r="I174" i="3"/>
  <c r="J173" i="3"/>
  <c r="I173" i="3"/>
  <c r="F179" i="3"/>
  <c r="F178" i="3"/>
  <c r="F177" i="3"/>
  <c r="F176" i="3"/>
  <c r="F175" i="3"/>
  <c r="F174" i="3"/>
  <c r="F173" i="3"/>
  <c r="Q90" i="2"/>
  <c r="Y34" i="2"/>
  <c r="Y33" i="2"/>
  <c r="Y31" i="2"/>
  <c r="Y30" i="2"/>
  <c r="Y18" i="2"/>
  <c r="Y20" i="2" s="1"/>
  <c r="Y15" i="2"/>
  <c r="Y17" i="2" s="1"/>
  <c r="CP46" i="8"/>
  <c r="CO46" i="8"/>
  <c r="CP102" i="8"/>
  <c r="CO102" i="8"/>
  <c r="CI102" i="8"/>
  <c r="CH102" i="8"/>
  <c r="CO6" i="8"/>
  <c r="CP6" i="8"/>
  <c r="CO7" i="8"/>
  <c r="CP7" i="8"/>
  <c r="CO8" i="8"/>
  <c r="CP8" i="8"/>
  <c r="CO9" i="8"/>
  <c r="CP9" i="8"/>
  <c r="CO10" i="8"/>
  <c r="CP10" i="8"/>
  <c r="CO11" i="8"/>
  <c r="CP11" i="8"/>
  <c r="CO12" i="8"/>
  <c r="CP12" i="8"/>
  <c r="CO13" i="8"/>
  <c r="CP13" i="8"/>
  <c r="CO14" i="8"/>
  <c r="CP14" i="8"/>
  <c r="CO15" i="8"/>
  <c r="CP15" i="8"/>
  <c r="CO16" i="8"/>
  <c r="CP16" i="8"/>
  <c r="CO17" i="8"/>
  <c r="CP17" i="8"/>
  <c r="CO18" i="8"/>
  <c r="CP18" i="8"/>
  <c r="CO19" i="8"/>
  <c r="CP19" i="8"/>
  <c r="CO20" i="8"/>
  <c r="CP20" i="8"/>
  <c r="CO21" i="8"/>
  <c r="CP21" i="8"/>
  <c r="CO22" i="8"/>
  <c r="CP22" i="8"/>
  <c r="CO23" i="8"/>
  <c r="CP23" i="8"/>
  <c r="CO24" i="8"/>
  <c r="CP24" i="8"/>
  <c r="CO25" i="8"/>
  <c r="CP25" i="8"/>
  <c r="CO26" i="8"/>
  <c r="CP26" i="8"/>
  <c r="CO27" i="8"/>
  <c r="CP27" i="8"/>
  <c r="CO28" i="8"/>
  <c r="CP28" i="8"/>
  <c r="CO29" i="8"/>
  <c r="CP29" i="8"/>
  <c r="CO30" i="8"/>
  <c r="CP30" i="8"/>
  <c r="CO31" i="8"/>
  <c r="CP31" i="8"/>
  <c r="CO32" i="8"/>
  <c r="CP32" i="8"/>
  <c r="CO34" i="8"/>
  <c r="CP34" i="8"/>
  <c r="CO35" i="8"/>
  <c r="CP35" i="8"/>
  <c r="CO36" i="8"/>
  <c r="CP36" i="8"/>
  <c r="CO37" i="8"/>
  <c r="CP37" i="8"/>
  <c r="CO38" i="8"/>
  <c r="CP38" i="8"/>
  <c r="CO39" i="8"/>
  <c r="CP39" i="8"/>
  <c r="CO40" i="8"/>
  <c r="CP40" i="8"/>
  <c r="CO41" i="8"/>
  <c r="CP41" i="8"/>
  <c r="CO42" i="8"/>
  <c r="CP42" i="8"/>
  <c r="CO44" i="8"/>
  <c r="CP44" i="8"/>
  <c r="CO45" i="8"/>
  <c r="CP45" i="8"/>
  <c r="CO47" i="8"/>
  <c r="CP47" i="8"/>
  <c r="CO48" i="8"/>
  <c r="CP48" i="8"/>
  <c r="CO49" i="8"/>
  <c r="CP49" i="8"/>
  <c r="CO50" i="8"/>
  <c r="CP50" i="8"/>
  <c r="CO51" i="8"/>
  <c r="CP51" i="8"/>
  <c r="CO52" i="8"/>
  <c r="CP52" i="8"/>
  <c r="CO53" i="8"/>
  <c r="CP53" i="8"/>
  <c r="CO54" i="8"/>
  <c r="CP54" i="8"/>
  <c r="CO55" i="8"/>
  <c r="CP55" i="8"/>
  <c r="CO56" i="8"/>
  <c r="CP56" i="8"/>
  <c r="CO57" i="8"/>
  <c r="CP57" i="8"/>
  <c r="CO58" i="8"/>
  <c r="CP58" i="8"/>
  <c r="CO59" i="8"/>
  <c r="CP59" i="8"/>
  <c r="CO60" i="8"/>
  <c r="CP60" i="8"/>
  <c r="CO61" i="8"/>
  <c r="CP61" i="8"/>
  <c r="CO62" i="8"/>
  <c r="CP62" i="8"/>
  <c r="CO63" i="8"/>
  <c r="CP63" i="8"/>
  <c r="CO64" i="8"/>
  <c r="CP64" i="8"/>
  <c r="CO65" i="8"/>
  <c r="CP65" i="8"/>
  <c r="CO66" i="8"/>
  <c r="CP66" i="8"/>
  <c r="CO68" i="8"/>
  <c r="CP68" i="8"/>
  <c r="CO69" i="8"/>
  <c r="CP69" i="8"/>
  <c r="CO70" i="8"/>
  <c r="CP70" i="8"/>
  <c r="CO71" i="8"/>
  <c r="CP71" i="8"/>
  <c r="CO72" i="8"/>
  <c r="CP72" i="8"/>
  <c r="CO73" i="8"/>
  <c r="CP73" i="8"/>
  <c r="CO74" i="8"/>
  <c r="CP74" i="8"/>
  <c r="CO76" i="8"/>
  <c r="CP76" i="8"/>
  <c r="CO77" i="8"/>
  <c r="CP77" i="8"/>
  <c r="CO78" i="8"/>
  <c r="CP78" i="8"/>
  <c r="CO79" i="8"/>
  <c r="CP79" i="8"/>
  <c r="CO80" i="8"/>
  <c r="CP80" i="8"/>
  <c r="CO82" i="8"/>
  <c r="CP82" i="8"/>
  <c r="CO83" i="8"/>
  <c r="CP83" i="8"/>
  <c r="CO84" i="8"/>
  <c r="CP84" i="8"/>
  <c r="CO85" i="8"/>
  <c r="CP85" i="8"/>
  <c r="CO86" i="8"/>
  <c r="CP86" i="8"/>
  <c r="CO87" i="8"/>
  <c r="CP87" i="8"/>
  <c r="CO88" i="8"/>
  <c r="CP88" i="8"/>
  <c r="CO89" i="8"/>
  <c r="CP89" i="8"/>
  <c r="CO90" i="8"/>
  <c r="CP90" i="8"/>
  <c r="CO91" i="8"/>
  <c r="CP91" i="8"/>
  <c r="CO92" i="8"/>
  <c r="CP92" i="8"/>
  <c r="CO93" i="8"/>
  <c r="CP93" i="8"/>
  <c r="CO94" i="8"/>
  <c r="CP94" i="8"/>
  <c r="CO95" i="8"/>
  <c r="CP95" i="8"/>
  <c r="CO96" i="8"/>
  <c r="CP96" i="8"/>
  <c r="CO97" i="8"/>
  <c r="CP97" i="8"/>
  <c r="CO98" i="8"/>
  <c r="CP98" i="8"/>
  <c r="CO99" i="8"/>
  <c r="CP99" i="8"/>
  <c r="CO100" i="8"/>
  <c r="CP100" i="8"/>
  <c r="CO101" i="8"/>
  <c r="CP101" i="8"/>
  <c r="CO103" i="8"/>
  <c r="CP103" i="8"/>
  <c r="CO104" i="8"/>
  <c r="CP104" i="8"/>
  <c r="CO105" i="8"/>
  <c r="CP105" i="8"/>
  <c r="CO106" i="8"/>
  <c r="CP106" i="8"/>
  <c r="CO107" i="8"/>
  <c r="CP107" i="8"/>
  <c r="CO108" i="8"/>
  <c r="CP108" i="8"/>
  <c r="CO109" i="8"/>
  <c r="CP109" i="8"/>
  <c r="CO110" i="8"/>
  <c r="CP110" i="8"/>
  <c r="CO111" i="8"/>
  <c r="CP111" i="8"/>
  <c r="CO112" i="8"/>
  <c r="CP112" i="8"/>
  <c r="CO114" i="8"/>
  <c r="CP114" i="8"/>
  <c r="CO115" i="8"/>
  <c r="CP115" i="8"/>
  <c r="CO116" i="8"/>
  <c r="CP116" i="8"/>
  <c r="CO117" i="8"/>
  <c r="CP117" i="8"/>
  <c r="CO118" i="8"/>
  <c r="CP118" i="8"/>
  <c r="CO119" i="8"/>
  <c r="CP119" i="8"/>
  <c r="CO120" i="8"/>
  <c r="CP120" i="8"/>
  <c r="CO121" i="8"/>
  <c r="CP121" i="8"/>
  <c r="CO123" i="8"/>
  <c r="CP123" i="8"/>
  <c r="CO124" i="8"/>
  <c r="CP124" i="8"/>
  <c r="CO125" i="8"/>
  <c r="CP125" i="8"/>
  <c r="CO126" i="8"/>
  <c r="CP126" i="8"/>
  <c r="CO127" i="8"/>
  <c r="CP127" i="8"/>
  <c r="CO128" i="8"/>
  <c r="CP128" i="8"/>
  <c r="CO129" i="8"/>
  <c r="CP129" i="8"/>
  <c r="CO130" i="8"/>
  <c r="CP130" i="8"/>
  <c r="CO132" i="8"/>
  <c r="CP132" i="8"/>
  <c r="CO133" i="8"/>
  <c r="CP133" i="8"/>
  <c r="CO134" i="8"/>
  <c r="CP134" i="8"/>
  <c r="CO135" i="8"/>
  <c r="CP135" i="8"/>
  <c r="CO136" i="8"/>
  <c r="CP136" i="8"/>
  <c r="CO137" i="8"/>
  <c r="CP137" i="8"/>
  <c r="CO138" i="8"/>
  <c r="CP138" i="8"/>
  <c r="CO139" i="8"/>
  <c r="CP139" i="8"/>
  <c r="CO140" i="8"/>
  <c r="CP140" i="8"/>
  <c r="CO143" i="8"/>
  <c r="CP143" i="8"/>
  <c r="CO144" i="8"/>
  <c r="CP144" i="8"/>
  <c r="CO145" i="8"/>
  <c r="CP145" i="8"/>
  <c r="CO146" i="8"/>
  <c r="CP146" i="8"/>
  <c r="CO147" i="8"/>
  <c r="CP147" i="8"/>
  <c r="CO148" i="8"/>
  <c r="CP148" i="8"/>
  <c r="CO149" i="8"/>
  <c r="CP149" i="8"/>
  <c r="CO150" i="8"/>
  <c r="CP150" i="8"/>
  <c r="CO151" i="8"/>
  <c r="CP151" i="8"/>
  <c r="CO153" i="8"/>
  <c r="CP153" i="8"/>
  <c r="CO154" i="8"/>
  <c r="CP154" i="8"/>
  <c r="CO155" i="8"/>
  <c r="CP155" i="8"/>
  <c r="CO156" i="8"/>
  <c r="CP156" i="8"/>
  <c r="CO157" i="8"/>
  <c r="CP157" i="8"/>
  <c r="CO158" i="8"/>
  <c r="CP158" i="8"/>
  <c r="CO159" i="8"/>
  <c r="CP159" i="8"/>
  <c r="CO161" i="8"/>
  <c r="CP161" i="8"/>
  <c r="CO162" i="8"/>
  <c r="CP162" i="8"/>
  <c r="CO163" i="8"/>
  <c r="CP163" i="8"/>
  <c r="CO164" i="8"/>
  <c r="CP164" i="8"/>
  <c r="CO165" i="8"/>
  <c r="CP165" i="8"/>
  <c r="CO166" i="8"/>
  <c r="CP166" i="8"/>
  <c r="CO167" i="8"/>
  <c r="CP167" i="8"/>
  <c r="CO168" i="8"/>
  <c r="CP168" i="8"/>
  <c r="CO169" i="8"/>
  <c r="CP169" i="8"/>
  <c r="CO170" i="8"/>
  <c r="CP170" i="8"/>
  <c r="CO171" i="8"/>
  <c r="CP171" i="8"/>
  <c r="CO172" i="8"/>
  <c r="CP172" i="8"/>
  <c r="CO173" i="8"/>
  <c r="CP173" i="8"/>
  <c r="CO174" i="8"/>
  <c r="CP174" i="8"/>
  <c r="CO176" i="8"/>
  <c r="CP176" i="8"/>
  <c r="CO177" i="8"/>
  <c r="CP177" i="8"/>
  <c r="CO178" i="8"/>
  <c r="CP178" i="8"/>
  <c r="CO179" i="8"/>
  <c r="CP179" i="8"/>
  <c r="CO180" i="8"/>
  <c r="CP180" i="8"/>
  <c r="CO181" i="8"/>
  <c r="CP181" i="8"/>
  <c r="CO182" i="8"/>
  <c r="CP182" i="8"/>
  <c r="CO183" i="8"/>
  <c r="CP183" i="8"/>
  <c r="CO184" i="8"/>
  <c r="CP184" i="8"/>
  <c r="CO185" i="8"/>
  <c r="CP185" i="8"/>
  <c r="CO186" i="8"/>
  <c r="CP186" i="8"/>
  <c r="CO187" i="8"/>
  <c r="CP187" i="8"/>
  <c r="CO188" i="8"/>
  <c r="CP188" i="8"/>
  <c r="CO189" i="8"/>
  <c r="CP189" i="8"/>
  <c r="CO190" i="8"/>
  <c r="CP190" i="8"/>
  <c r="CO191" i="8"/>
  <c r="CP191" i="8"/>
  <c r="CO192" i="8"/>
  <c r="CP192" i="8"/>
  <c r="CO193" i="8"/>
  <c r="CP193" i="8"/>
  <c r="CO194" i="8"/>
  <c r="CP194" i="8"/>
  <c r="CO195" i="8"/>
  <c r="CP195" i="8"/>
  <c r="CO197" i="8"/>
  <c r="CP197" i="8"/>
  <c r="CO207" i="8"/>
  <c r="CP207" i="8"/>
  <c r="CO209" i="8"/>
  <c r="CP209" i="8"/>
  <c r="CO213" i="8"/>
  <c r="CP213" i="8"/>
  <c r="CO216" i="8"/>
  <c r="CP216" i="8"/>
  <c r="CO217" i="8"/>
  <c r="CP217" i="8"/>
  <c r="CO218" i="8"/>
  <c r="CP218" i="8"/>
  <c r="CO219" i="8"/>
  <c r="CP219" i="8"/>
  <c r="CO220" i="8"/>
  <c r="CP220" i="8"/>
  <c r="CO225" i="8"/>
  <c r="CP225" i="8"/>
  <c r="CO226" i="8"/>
  <c r="CP226" i="8"/>
  <c r="CO228" i="8"/>
  <c r="CP228" i="8"/>
  <c r="CO229" i="8"/>
  <c r="CP229" i="8"/>
  <c r="CO231" i="8"/>
  <c r="CP231" i="8"/>
  <c r="CO232" i="8"/>
  <c r="CP232" i="8"/>
  <c r="CO234" i="8"/>
  <c r="CP234" i="8"/>
  <c r="CO235" i="8"/>
  <c r="CP235" i="8"/>
  <c r="CO236" i="8"/>
  <c r="CP236" i="8"/>
  <c r="CO237" i="8"/>
  <c r="CP237" i="8"/>
  <c r="CO239" i="8"/>
  <c r="CP239" i="8"/>
  <c r="CO241" i="8"/>
  <c r="CP241" i="8"/>
  <c r="CO243" i="8"/>
  <c r="CP243" i="8"/>
  <c r="CO244" i="8"/>
  <c r="CP244" i="8"/>
  <c r="CO246" i="8"/>
  <c r="CP246" i="8"/>
  <c r="CO247" i="8"/>
  <c r="CP247" i="8"/>
  <c r="CO248" i="8"/>
  <c r="CP248" i="8"/>
  <c r="CO249" i="8"/>
  <c r="CP249" i="8"/>
  <c r="CO250" i="8"/>
  <c r="CP250" i="8"/>
  <c r="CO251" i="8"/>
  <c r="CP251" i="8"/>
  <c r="CP5" i="8"/>
  <c r="CO5" i="8"/>
  <c r="P72" i="7"/>
  <c r="P71" i="7"/>
  <c r="O72" i="7"/>
  <c r="N72" i="7"/>
  <c r="M72" i="7"/>
  <c r="J72" i="7"/>
  <c r="G72" i="7"/>
  <c r="E72" i="7"/>
  <c r="AO87" i="7" s="1"/>
  <c r="O71" i="7"/>
  <c r="N71" i="7"/>
  <c r="M71" i="7"/>
  <c r="J71" i="7"/>
  <c r="G71" i="7"/>
  <c r="E71" i="7"/>
  <c r="AO86" i="7" s="1"/>
  <c r="X17" i="6"/>
  <c r="X16" i="6"/>
  <c r="X15" i="6"/>
  <c r="X14" i="6"/>
  <c r="X13" i="6"/>
  <c r="X12" i="6"/>
  <c r="X11" i="6"/>
  <c r="X10" i="6"/>
  <c r="X9" i="6"/>
  <c r="X8" i="6"/>
  <c r="X7" i="6"/>
  <c r="X6" i="6"/>
  <c r="X5" i="6"/>
  <c r="X4" i="6"/>
  <c r="W17" i="6"/>
  <c r="W16" i="6"/>
  <c r="W15" i="6"/>
  <c r="W14" i="6"/>
  <c r="W13" i="6"/>
  <c r="W12" i="6"/>
  <c r="W11" i="6"/>
  <c r="W10" i="6"/>
  <c r="W9" i="6"/>
  <c r="W8" i="6"/>
  <c r="W7" i="6"/>
  <c r="W6" i="6"/>
  <c r="W5" i="6"/>
  <c r="W4" i="6"/>
  <c r="R89" i="2"/>
  <c r="N121" i="2" s="1"/>
  <c r="Q89" i="2"/>
  <c r="Q88" i="2"/>
  <c r="Q87" i="2"/>
  <c r="P575" i="3"/>
  <c r="O575" i="3"/>
  <c r="P574" i="3"/>
  <c r="O574" i="3"/>
  <c r="P572" i="3"/>
  <c r="O572" i="3"/>
  <c r="P571" i="3"/>
  <c r="O571" i="3"/>
  <c r="P570" i="3"/>
  <c r="O570" i="3"/>
  <c r="N575" i="3"/>
  <c r="M575" i="3"/>
  <c r="J575" i="3"/>
  <c r="I575" i="3"/>
  <c r="F575" i="3"/>
  <c r="N574" i="3"/>
  <c r="M574" i="3"/>
  <c r="J574" i="3"/>
  <c r="I574" i="3"/>
  <c r="F574" i="3"/>
  <c r="N572" i="3"/>
  <c r="M572" i="3"/>
  <c r="J572" i="3"/>
  <c r="I572" i="3"/>
  <c r="F572" i="3"/>
  <c r="N571" i="3"/>
  <c r="M571" i="3"/>
  <c r="J571" i="3"/>
  <c r="I571" i="3"/>
  <c r="F571" i="3"/>
  <c r="N570" i="3"/>
  <c r="M570" i="3"/>
  <c r="J570" i="3"/>
  <c r="I570" i="3"/>
  <c r="F570" i="3"/>
  <c r="P374" i="3"/>
  <c r="O374" i="3"/>
  <c r="P373" i="3"/>
  <c r="O373" i="3"/>
  <c r="P372" i="3"/>
  <c r="O372" i="3"/>
  <c r="P371" i="3"/>
  <c r="O371" i="3"/>
  <c r="P370" i="3"/>
  <c r="O370" i="3"/>
  <c r="P369" i="3"/>
  <c r="O369" i="3"/>
  <c r="P368" i="3"/>
  <c r="O368" i="3"/>
  <c r="N374" i="3"/>
  <c r="M374" i="3"/>
  <c r="J374" i="3"/>
  <c r="I374" i="3"/>
  <c r="F374" i="3"/>
  <c r="N373" i="3"/>
  <c r="M373" i="3"/>
  <c r="J373" i="3"/>
  <c r="I373" i="3"/>
  <c r="F373" i="3"/>
  <c r="N372" i="3"/>
  <c r="M372" i="3"/>
  <c r="J372" i="3"/>
  <c r="I372" i="3"/>
  <c r="F372" i="3"/>
  <c r="N371" i="3"/>
  <c r="M371" i="3"/>
  <c r="J371" i="3"/>
  <c r="I371" i="3"/>
  <c r="F371" i="3"/>
  <c r="N370" i="3"/>
  <c r="M370" i="3"/>
  <c r="J370" i="3"/>
  <c r="I370" i="3"/>
  <c r="F370" i="3"/>
  <c r="N369" i="3"/>
  <c r="M369" i="3"/>
  <c r="J369" i="3"/>
  <c r="I369" i="3"/>
  <c r="F369" i="3"/>
  <c r="N368" i="3"/>
  <c r="M368" i="3"/>
  <c r="J368" i="3"/>
  <c r="I368" i="3"/>
  <c r="F368" i="3"/>
  <c r="N171" i="3"/>
  <c r="M171" i="3"/>
  <c r="J171" i="3"/>
  <c r="I171" i="3"/>
  <c r="F171" i="3"/>
  <c r="N170" i="3"/>
  <c r="M170" i="3"/>
  <c r="J170" i="3"/>
  <c r="I170" i="3"/>
  <c r="F170" i="3"/>
  <c r="N169" i="3"/>
  <c r="M169" i="3"/>
  <c r="J169" i="3"/>
  <c r="I169" i="3"/>
  <c r="F169" i="3"/>
  <c r="N168" i="3"/>
  <c r="M168" i="3"/>
  <c r="J168" i="3"/>
  <c r="I168" i="3"/>
  <c r="F168" i="3"/>
  <c r="N167" i="3"/>
  <c r="M167" i="3"/>
  <c r="J167" i="3"/>
  <c r="I167" i="3"/>
  <c r="F167" i="3"/>
  <c r="N166" i="3"/>
  <c r="M166" i="3"/>
  <c r="J166" i="3"/>
  <c r="I166" i="3"/>
  <c r="F166" i="3"/>
  <c r="N165" i="3"/>
  <c r="M165" i="3"/>
  <c r="J165" i="3"/>
  <c r="I165" i="3"/>
  <c r="F165" i="3"/>
  <c r="R88" i="2"/>
  <c r="O120" i="2" s="1"/>
  <c r="AA17" i="2" l="1"/>
  <c r="AA19" i="2"/>
  <c r="D122" i="2"/>
  <c r="G122" i="2"/>
  <c r="E122" i="2"/>
  <c r="F122" i="2"/>
  <c r="I122" i="2"/>
  <c r="J122" i="2"/>
  <c r="B122" i="2"/>
  <c r="K122" i="2"/>
  <c r="C122" i="2"/>
  <c r="L122" i="2"/>
  <c r="M122" i="2"/>
  <c r="N122" i="2"/>
  <c r="O122" i="2"/>
  <c r="H122" i="2"/>
  <c r="Y16" i="2"/>
  <c r="Y19" i="2"/>
  <c r="C121" i="2"/>
  <c r="G121" i="2"/>
  <c r="K121" i="2"/>
  <c r="O121" i="2"/>
  <c r="D121" i="2"/>
  <c r="P121" i="2"/>
  <c r="I121" i="2"/>
  <c r="M121" i="2"/>
  <c r="H121" i="2"/>
  <c r="L121" i="2"/>
  <c r="E121" i="2"/>
  <c r="B121" i="2"/>
  <c r="F121" i="2"/>
  <c r="J121" i="2"/>
  <c r="E120" i="2"/>
  <c r="I120" i="2"/>
  <c r="M120" i="2"/>
  <c r="H120" i="2"/>
  <c r="P120" i="2"/>
  <c r="B120" i="2"/>
  <c r="F120" i="2"/>
  <c r="J120" i="2"/>
  <c r="N120" i="2"/>
  <c r="D120" i="2"/>
  <c r="L120" i="2"/>
  <c r="C120" i="2"/>
  <c r="G120" i="2"/>
  <c r="K120" i="2"/>
  <c r="X15" i="2"/>
  <c r="W15" i="2"/>
  <c r="W17" i="2" s="1"/>
  <c r="V15" i="2"/>
  <c r="V16" i="2" s="1"/>
  <c r="U15" i="2"/>
  <c r="U17" i="2" s="1"/>
  <c r="X36" i="2"/>
  <c r="W36" i="2"/>
  <c r="W31" i="2" s="1"/>
  <c r="V36" i="2"/>
  <c r="V31" i="2" s="1"/>
  <c r="U36" i="2"/>
  <c r="U31" i="2" s="1"/>
  <c r="X35" i="2"/>
  <c r="X33" i="2" s="1"/>
  <c r="W35" i="2"/>
  <c r="W30" i="2" s="1"/>
  <c r="V35" i="2"/>
  <c r="V30" i="2" s="1"/>
  <c r="U35" i="2"/>
  <c r="U30" i="2" s="1"/>
  <c r="X34" i="2"/>
  <c r="X31" i="2"/>
  <c r="W20" i="2"/>
  <c r="V20" i="2"/>
  <c r="W19" i="2"/>
  <c r="V19" i="2"/>
  <c r="W34" i="2" l="1"/>
  <c r="V34" i="2"/>
  <c r="U34" i="2"/>
  <c r="V33" i="2"/>
  <c r="W33" i="2"/>
  <c r="U33" i="2"/>
  <c r="X30" i="2"/>
  <c r="W16" i="2"/>
  <c r="V17" i="2"/>
  <c r="CI251" i="8"/>
  <c r="CH251" i="8"/>
  <c r="CI250" i="8"/>
  <c r="CH250" i="8"/>
  <c r="CI249" i="8"/>
  <c r="CH249" i="8"/>
  <c r="CI248" i="8"/>
  <c r="CH248" i="8"/>
  <c r="CI247" i="8"/>
  <c r="CH247" i="8"/>
  <c r="CI246" i="8"/>
  <c r="CH246" i="8"/>
  <c r="CI244" i="8"/>
  <c r="CH244" i="8"/>
  <c r="CI243" i="8"/>
  <c r="CH243" i="8"/>
  <c r="CI241" i="8"/>
  <c r="CH241" i="8"/>
  <c r="CI239" i="8"/>
  <c r="CH239" i="8"/>
  <c r="CI237" i="8"/>
  <c r="CH237" i="8"/>
  <c r="CI236" i="8"/>
  <c r="CH236" i="8"/>
  <c r="CI235" i="8"/>
  <c r="CH235" i="8"/>
  <c r="CI234" i="8"/>
  <c r="CH234" i="8"/>
  <c r="CI232" i="8"/>
  <c r="CH232" i="8"/>
  <c r="CI231" i="8"/>
  <c r="CH231" i="8"/>
  <c r="CI229" i="8"/>
  <c r="CH229" i="8"/>
  <c r="CI228" i="8"/>
  <c r="CH228" i="8"/>
  <c r="CI226" i="8"/>
  <c r="CH226" i="8"/>
  <c r="CI225" i="8"/>
  <c r="CH225" i="8"/>
  <c r="CI220" i="8"/>
  <c r="CH220" i="8"/>
  <c r="CI219" i="8"/>
  <c r="CH219" i="8"/>
  <c r="CI218" i="8"/>
  <c r="CH218" i="8"/>
  <c r="CI217" i="8"/>
  <c r="CH217" i="8"/>
  <c r="CI216" i="8"/>
  <c r="CH216" i="8"/>
  <c r="CI213" i="8"/>
  <c r="CH213" i="8"/>
  <c r="CI209" i="8"/>
  <c r="CH209" i="8"/>
  <c r="CI207" i="8"/>
  <c r="CH207" i="8"/>
  <c r="CI197" i="8"/>
  <c r="CH197" i="8"/>
  <c r="CI195" i="8"/>
  <c r="CH195" i="8"/>
  <c r="CI194" i="8"/>
  <c r="CH194" i="8"/>
  <c r="CI193" i="8"/>
  <c r="CH193" i="8"/>
  <c r="CI192" i="8"/>
  <c r="CH192" i="8"/>
  <c r="CI191" i="8"/>
  <c r="CH191" i="8"/>
  <c r="CI190" i="8"/>
  <c r="CH190" i="8"/>
  <c r="CI189" i="8"/>
  <c r="CH189" i="8"/>
  <c r="CI188" i="8"/>
  <c r="CH188" i="8"/>
  <c r="CI187" i="8"/>
  <c r="CH187" i="8"/>
  <c r="CI186" i="8"/>
  <c r="CH186" i="8"/>
  <c r="CI185" i="8"/>
  <c r="CH185" i="8"/>
  <c r="CI184" i="8"/>
  <c r="CH184" i="8"/>
  <c r="CI183" i="8"/>
  <c r="CH183" i="8"/>
  <c r="CI182" i="8"/>
  <c r="CH182" i="8"/>
  <c r="CI181" i="8"/>
  <c r="CH181" i="8"/>
  <c r="CI180" i="8"/>
  <c r="CH180" i="8"/>
  <c r="CI179" i="8"/>
  <c r="CH179" i="8"/>
  <c r="CI178" i="8"/>
  <c r="CH178" i="8"/>
  <c r="CI177" i="8"/>
  <c r="CH177" i="8"/>
  <c r="CI176" i="8"/>
  <c r="CH176" i="8"/>
  <c r="CI174" i="8"/>
  <c r="CH174" i="8"/>
  <c r="CI173" i="8"/>
  <c r="CH173" i="8"/>
  <c r="CI172" i="8"/>
  <c r="CH172" i="8"/>
  <c r="CI171" i="8"/>
  <c r="CH171" i="8"/>
  <c r="CI170" i="8"/>
  <c r="CH170" i="8"/>
  <c r="CI169" i="8"/>
  <c r="CH169" i="8"/>
  <c r="CI168" i="8"/>
  <c r="CH168" i="8"/>
  <c r="CI167" i="8"/>
  <c r="CH167" i="8"/>
  <c r="CI166" i="8"/>
  <c r="CH166" i="8"/>
  <c r="CI165" i="8"/>
  <c r="CH165" i="8"/>
  <c r="CI164" i="8"/>
  <c r="CH164" i="8"/>
  <c r="CI163" i="8"/>
  <c r="CH163" i="8"/>
  <c r="CI162" i="8"/>
  <c r="CH162" i="8"/>
  <c r="CI161" i="8"/>
  <c r="CH161" i="8"/>
  <c r="CI159" i="8"/>
  <c r="CH159" i="8"/>
  <c r="CI158" i="8"/>
  <c r="CH158" i="8"/>
  <c r="CI157" i="8"/>
  <c r="CH157" i="8"/>
  <c r="CI156" i="8"/>
  <c r="CH156" i="8"/>
  <c r="CI155" i="8"/>
  <c r="CH155" i="8"/>
  <c r="CI154" i="8"/>
  <c r="CH154" i="8"/>
  <c r="CI153" i="8"/>
  <c r="CH153" i="8"/>
  <c r="CI151" i="8"/>
  <c r="CH151" i="8"/>
  <c r="CI150" i="8"/>
  <c r="CH150" i="8"/>
  <c r="CI149" i="8"/>
  <c r="CH149" i="8"/>
  <c r="CI148" i="8"/>
  <c r="CH148" i="8"/>
  <c r="CI147" i="8"/>
  <c r="CH147" i="8"/>
  <c r="CI146" i="8"/>
  <c r="CH146" i="8"/>
  <c r="CI145" i="8"/>
  <c r="CH145" i="8"/>
  <c r="CI144" i="8"/>
  <c r="CH144" i="8"/>
  <c r="CI143" i="8"/>
  <c r="CH143" i="8"/>
  <c r="CI140" i="8"/>
  <c r="CH140" i="8"/>
  <c r="CI139" i="8"/>
  <c r="CH139" i="8"/>
  <c r="CI138" i="8"/>
  <c r="CH138" i="8"/>
  <c r="CI137" i="8"/>
  <c r="CH137" i="8"/>
  <c r="CI136" i="8"/>
  <c r="CH136" i="8"/>
  <c r="CI135" i="8"/>
  <c r="CH135" i="8"/>
  <c r="CI134" i="8"/>
  <c r="CH134" i="8"/>
  <c r="CI133" i="8"/>
  <c r="CH133" i="8"/>
  <c r="CI132" i="8"/>
  <c r="CH132" i="8"/>
  <c r="CI130" i="8"/>
  <c r="CH130" i="8"/>
  <c r="CI129" i="8"/>
  <c r="CH129" i="8"/>
  <c r="CI128" i="8"/>
  <c r="CH128" i="8"/>
  <c r="CI127" i="8"/>
  <c r="CH127" i="8"/>
  <c r="CI126" i="8"/>
  <c r="CH126" i="8"/>
  <c r="CI125" i="8"/>
  <c r="CH125" i="8"/>
  <c r="CI124" i="8"/>
  <c r="CH124" i="8"/>
  <c r="CI123" i="8"/>
  <c r="CH123" i="8"/>
  <c r="CI121" i="8"/>
  <c r="CH121" i="8"/>
  <c r="CI120" i="8"/>
  <c r="CH120" i="8"/>
  <c r="CI119" i="8"/>
  <c r="CH119" i="8"/>
  <c r="CI118" i="8"/>
  <c r="CH118" i="8"/>
  <c r="CI117" i="8"/>
  <c r="CH117" i="8"/>
  <c r="CI116" i="8"/>
  <c r="CH116" i="8"/>
  <c r="CI115" i="8"/>
  <c r="CH115" i="8"/>
  <c r="CI114" i="8"/>
  <c r="CH114" i="8"/>
  <c r="CI112" i="8"/>
  <c r="CH112" i="8"/>
  <c r="CI111" i="8"/>
  <c r="CH111" i="8"/>
  <c r="CI110" i="8"/>
  <c r="CH110" i="8"/>
  <c r="CI109" i="8"/>
  <c r="CH109" i="8"/>
  <c r="CI108" i="8"/>
  <c r="CH108" i="8"/>
  <c r="CI107" i="8"/>
  <c r="CH107" i="8"/>
  <c r="CI106" i="8"/>
  <c r="CH106" i="8"/>
  <c r="CI105" i="8"/>
  <c r="CH105" i="8"/>
  <c r="CI104" i="8"/>
  <c r="CH104" i="8"/>
  <c r="CI103" i="8"/>
  <c r="CH103" i="8"/>
  <c r="CI101" i="8"/>
  <c r="CH101" i="8"/>
  <c r="CI100" i="8"/>
  <c r="CH100" i="8"/>
  <c r="CI99" i="8"/>
  <c r="CH99" i="8"/>
  <c r="CI98" i="8"/>
  <c r="CH98" i="8"/>
  <c r="CI97" i="8"/>
  <c r="CH97" i="8"/>
  <c r="CI96" i="8"/>
  <c r="CH96" i="8"/>
  <c r="CI95" i="8"/>
  <c r="CH95" i="8"/>
  <c r="CI94" i="8"/>
  <c r="CH94" i="8"/>
  <c r="CI93" i="8"/>
  <c r="CH93" i="8"/>
  <c r="CI92" i="8"/>
  <c r="CH92" i="8"/>
  <c r="CI91" i="8"/>
  <c r="CH91" i="8"/>
  <c r="CI90" i="8"/>
  <c r="CH90" i="8"/>
  <c r="CI89" i="8"/>
  <c r="CH89" i="8"/>
  <c r="CI88" i="8"/>
  <c r="CH88" i="8"/>
  <c r="CI87" i="8"/>
  <c r="CH87" i="8"/>
  <c r="CI86" i="8"/>
  <c r="CH86" i="8"/>
  <c r="CI85" i="8"/>
  <c r="CH85" i="8"/>
  <c r="CI84" i="8"/>
  <c r="CH84" i="8"/>
  <c r="CI83" i="8"/>
  <c r="CH83" i="8"/>
  <c r="CI82" i="8"/>
  <c r="CH82" i="8"/>
  <c r="CI80" i="8"/>
  <c r="CH80" i="8"/>
  <c r="CI79" i="8"/>
  <c r="CH79" i="8"/>
  <c r="CI78" i="8"/>
  <c r="CH78" i="8"/>
  <c r="CI77" i="8"/>
  <c r="CH77" i="8"/>
  <c r="CI76" i="8"/>
  <c r="CH76" i="8"/>
  <c r="CI74" i="8"/>
  <c r="CH74" i="8"/>
  <c r="CI73" i="8"/>
  <c r="CH73" i="8"/>
  <c r="CI72" i="8"/>
  <c r="CH72" i="8"/>
  <c r="CI71" i="8"/>
  <c r="CH71" i="8"/>
  <c r="CI70" i="8"/>
  <c r="CH70" i="8"/>
  <c r="CI69" i="8"/>
  <c r="CH69" i="8"/>
  <c r="CI68" i="8"/>
  <c r="CH68" i="8"/>
  <c r="CI67" i="8"/>
  <c r="CH67" i="8"/>
  <c r="CI66" i="8"/>
  <c r="CH66" i="8"/>
  <c r="CI65" i="8"/>
  <c r="CH65" i="8"/>
  <c r="CI64" i="8"/>
  <c r="CH64" i="8"/>
  <c r="CI63" i="8"/>
  <c r="CH63" i="8"/>
  <c r="CI62" i="8"/>
  <c r="CH62" i="8"/>
  <c r="CI61" i="8"/>
  <c r="CH61" i="8"/>
  <c r="CI60" i="8"/>
  <c r="CH60" i="8"/>
  <c r="CI59" i="8"/>
  <c r="CH59" i="8"/>
  <c r="CI58" i="8"/>
  <c r="CH58" i="8"/>
  <c r="CI57" i="8"/>
  <c r="CH57" i="8"/>
  <c r="CI56" i="8"/>
  <c r="CH56" i="8"/>
  <c r="CI55" i="8"/>
  <c r="CH55" i="8"/>
  <c r="CI54" i="8"/>
  <c r="CH54" i="8"/>
  <c r="CI53" i="8"/>
  <c r="CH53" i="8"/>
  <c r="CI52" i="8"/>
  <c r="CH52" i="8"/>
  <c r="CI51" i="8"/>
  <c r="CH51" i="8"/>
  <c r="CI50" i="8"/>
  <c r="CH50" i="8"/>
  <c r="CI49" i="8"/>
  <c r="CH49" i="8"/>
  <c r="CI48" i="8"/>
  <c r="CH48" i="8"/>
  <c r="CI47" i="8"/>
  <c r="CH47" i="8"/>
  <c r="CI45" i="8"/>
  <c r="CH45" i="8"/>
  <c r="CI44" i="8"/>
  <c r="CH44" i="8"/>
  <c r="CI42" i="8"/>
  <c r="CH42" i="8"/>
  <c r="CI41" i="8"/>
  <c r="CH41" i="8"/>
  <c r="CI40" i="8"/>
  <c r="CH40" i="8"/>
  <c r="CI39" i="8"/>
  <c r="CH39" i="8"/>
  <c r="CI38" i="8"/>
  <c r="CH38" i="8"/>
  <c r="CI37" i="8"/>
  <c r="CH37" i="8"/>
  <c r="CI36" i="8"/>
  <c r="CH36" i="8"/>
  <c r="CI35" i="8"/>
  <c r="CH35" i="8"/>
  <c r="CI34" i="8"/>
  <c r="CH34" i="8"/>
  <c r="CI32" i="8"/>
  <c r="CH32" i="8"/>
  <c r="CI31" i="8"/>
  <c r="CH31" i="8"/>
  <c r="CI30" i="8"/>
  <c r="CH30" i="8"/>
  <c r="CI29" i="8"/>
  <c r="CH29" i="8"/>
  <c r="CI28" i="8"/>
  <c r="CH28" i="8"/>
  <c r="CI27" i="8"/>
  <c r="CH27" i="8"/>
  <c r="CI26" i="8"/>
  <c r="CH26" i="8"/>
  <c r="CI25" i="8"/>
  <c r="CH25" i="8"/>
  <c r="CI24" i="8"/>
  <c r="CH24" i="8"/>
  <c r="CI23" i="8"/>
  <c r="CH23" i="8"/>
  <c r="CI22" i="8"/>
  <c r="CH22" i="8"/>
  <c r="CI21" i="8"/>
  <c r="CH21" i="8"/>
  <c r="CI20" i="8"/>
  <c r="CH20" i="8"/>
  <c r="CI19" i="8"/>
  <c r="CH19" i="8"/>
  <c r="CI18" i="8"/>
  <c r="CH18" i="8"/>
  <c r="CI17" i="8"/>
  <c r="CH17" i="8"/>
  <c r="CI16" i="8"/>
  <c r="CH16" i="8"/>
  <c r="CI15" i="8"/>
  <c r="CH15" i="8"/>
  <c r="CI14" i="8"/>
  <c r="CH14" i="8"/>
  <c r="CI13" i="8"/>
  <c r="CH13" i="8"/>
  <c r="CI12" i="8"/>
  <c r="CH12" i="8"/>
  <c r="CI11" i="8"/>
  <c r="CH11" i="8"/>
  <c r="CI10" i="8"/>
  <c r="CH10" i="8"/>
  <c r="CI9" i="8"/>
  <c r="CH9" i="8"/>
  <c r="CI8" i="8"/>
  <c r="CH8" i="8"/>
  <c r="CI7" i="8"/>
  <c r="CH7" i="8"/>
  <c r="CI6" i="8"/>
  <c r="CH6" i="8"/>
  <c r="CI5" i="8"/>
  <c r="CH5" i="8"/>
  <c r="O69" i="7"/>
  <c r="N69" i="7"/>
  <c r="M69" i="7"/>
  <c r="O68" i="7"/>
  <c r="N68" i="7"/>
  <c r="M68" i="7"/>
  <c r="J69" i="7"/>
  <c r="J68" i="7"/>
  <c r="G69" i="7"/>
  <c r="G68" i="7"/>
  <c r="E69" i="7"/>
  <c r="AN87" i="7" s="1"/>
  <c r="E68" i="7"/>
  <c r="AN86" i="7" s="1"/>
  <c r="AR31" i="6"/>
  <c r="AR32" i="6"/>
  <c r="AR35" i="6"/>
  <c r="AR36" i="6"/>
  <c r="V17" i="6"/>
  <c r="AR38" i="6"/>
  <c r="AR37" i="6"/>
  <c r="AR34" i="6"/>
  <c r="AR33" i="6"/>
  <c r="N567" i="3"/>
  <c r="M567" i="3"/>
  <c r="N566" i="3"/>
  <c r="M566" i="3"/>
  <c r="N564" i="3"/>
  <c r="M564" i="3"/>
  <c r="N563" i="3"/>
  <c r="M563" i="3"/>
  <c r="N562" i="3"/>
  <c r="M562" i="3"/>
  <c r="J567" i="3"/>
  <c r="I567" i="3"/>
  <c r="J566" i="3"/>
  <c r="I566" i="3"/>
  <c r="J564" i="3"/>
  <c r="I564" i="3"/>
  <c r="J563" i="3"/>
  <c r="I563" i="3"/>
  <c r="J562" i="3"/>
  <c r="I562" i="3"/>
  <c r="F567" i="3"/>
  <c r="F566" i="3"/>
  <c r="F564" i="3"/>
  <c r="F563" i="3"/>
  <c r="F562" i="3"/>
  <c r="N366" i="3"/>
  <c r="M366" i="3"/>
  <c r="N365" i="3"/>
  <c r="M365" i="3"/>
  <c r="N364" i="3"/>
  <c r="M364" i="3"/>
  <c r="N363" i="3"/>
  <c r="M363" i="3"/>
  <c r="N362" i="3"/>
  <c r="M362" i="3"/>
  <c r="N361" i="3"/>
  <c r="M361" i="3"/>
  <c r="N360" i="3"/>
  <c r="M360" i="3"/>
  <c r="J366" i="3"/>
  <c r="I366" i="3"/>
  <c r="J365" i="3"/>
  <c r="I365" i="3"/>
  <c r="J364" i="3"/>
  <c r="I364" i="3"/>
  <c r="J363" i="3"/>
  <c r="I363" i="3"/>
  <c r="J362" i="3"/>
  <c r="I362" i="3"/>
  <c r="J361" i="3"/>
  <c r="I361" i="3"/>
  <c r="J360" i="3"/>
  <c r="I360" i="3"/>
  <c r="F366" i="3"/>
  <c r="F365" i="3"/>
  <c r="F364" i="3"/>
  <c r="F363" i="3"/>
  <c r="F362" i="3"/>
  <c r="F361" i="3"/>
  <c r="F360" i="3"/>
  <c r="N163" i="3"/>
  <c r="M163" i="3"/>
  <c r="N162" i="3"/>
  <c r="M162" i="3"/>
  <c r="N161" i="3"/>
  <c r="M161" i="3"/>
  <c r="N160" i="3"/>
  <c r="M160" i="3"/>
  <c r="N159" i="3"/>
  <c r="M159" i="3"/>
  <c r="N158" i="3"/>
  <c r="M158" i="3"/>
  <c r="N157" i="3"/>
  <c r="M157" i="3"/>
  <c r="J163" i="3"/>
  <c r="I163" i="3"/>
  <c r="J162" i="3"/>
  <c r="I162" i="3"/>
  <c r="J161" i="3"/>
  <c r="I161" i="3"/>
  <c r="J160" i="3"/>
  <c r="I160" i="3"/>
  <c r="J159" i="3"/>
  <c r="I159" i="3"/>
  <c r="J158" i="3"/>
  <c r="I158" i="3"/>
  <c r="J157" i="3"/>
  <c r="I157" i="3"/>
  <c r="F163" i="3"/>
  <c r="F162" i="3"/>
  <c r="F161" i="3"/>
  <c r="F160" i="3"/>
  <c r="F159" i="3"/>
  <c r="F158" i="3"/>
  <c r="F157" i="3"/>
  <c r="R87" i="2"/>
  <c r="B119" i="2" s="1"/>
  <c r="E119" i="2" l="1"/>
  <c r="P119" i="2"/>
  <c r="L119" i="2"/>
  <c r="H119" i="2"/>
  <c r="D119" i="2"/>
  <c r="I119" i="2"/>
  <c r="O119" i="2"/>
  <c r="K119" i="2"/>
  <c r="G119" i="2"/>
  <c r="C119" i="2"/>
  <c r="M119" i="2"/>
  <c r="N119" i="2"/>
  <c r="J119" i="2"/>
  <c r="F119" i="2"/>
  <c r="CB225" i="8" l="1"/>
  <c r="CA225" i="8"/>
  <c r="BU244" i="8"/>
  <c r="BT244" i="8"/>
  <c r="BT245" i="8"/>
  <c r="CB244" i="8"/>
  <c r="CA244" i="8"/>
  <c r="CB143" i="8"/>
  <c r="CA143" i="8"/>
  <c r="CA144" i="8"/>
  <c r="CB251" i="8"/>
  <c r="CA251" i="8"/>
  <c r="CB250" i="8"/>
  <c r="CA250" i="8"/>
  <c r="CB249" i="8"/>
  <c r="CA249" i="8"/>
  <c r="CB248" i="8"/>
  <c r="CA248" i="8"/>
  <c r="CB247" i="8"/>
  <c r="CA247" i="8"/>
  <c r="CB246" i="8"/>
  <c r="CA246" i="8"/>
  <c r="CB245" i="8"/>
  <c r="CA245" i="8"/>
  <c r="CB243" i="8"/>
  <c r="CA243" i="8"/>
  <c r="CB241" i="8"/>
  <c r="CA241" i="8"/>
  <c r="CB239" i="8"/>
  <c r="CA239" i="8"/>
  <c r="CB237" i="8"/>
  <c r="CA237" i="8"/>
  <c r="CB236" i="8"/>
  <c r="CA236" i="8"/>
  <c r="CB235" i="8"/>
  <c r="CA235" i="8"/>
  <c r="CB234" i="8"/>
  <c r="CA234" i="8"/>
  <c r="CB232" i="8"/>
  <c r="CA232" i="8"/>
  <c r="CB231" i="8"/>
  <c r="CA231" i="8"/>
  <c r="CB229" i="8"/>
  <c r="CA229" i="8"/>
  <c r="CB228" i="8"/>
  <c r="CA228" i="8"/>
  <c r="CB226" i="8"/>
  <c r="CA226" i="8"/>
  <c r="CB220" i="8"/>
  <c r="CA220" i="8"/>
  <c r="CB219" i="8"/>
  <c r="CA219" i="8"/>
  <c r="CB218" i="8"/>
  <c r="CA218" i="8"/>
  <c r="CB217" i="8"/>
  <c r="CA217" i="8"/>
  <c r="CB216" i="8"/>
  <c r="CA216" i="8"/>
  <c r="CB213" i="8"/>
  <c r="CA213" i="8"/>
  <c r="CB212" i="8"/>
  <c r="CA212" i="8"/>
  <c r="CB209" i="8"/>
  <c r="CA209" i="8"/>
  <c r="CB207" i="8"/>
  <c r="CA207" i="8"/>
  <c r="CB197" i="8"/>
  <c r="CA197" i="8"/>
  <c r="CB195" i="8"/>
  <c r="CA195" i="8"/>
  <c r="CB194" i="8"/>
  <c r="CA194" i="8"/>
  <c r="CB193" i="8"/>
  <c r="CA193" i="8"/>
  <c r="CB192" i="8"/>
  <c r="CA192" i="8"/>
  <c r="CB191" i="8"/>
  <c r="CA191" i="8"/>
  <c r="CB190" i="8"/>
  <c r="CA190" i="8"/>
  <c r="CB189" i="8"/>
  <c r="CA189" i="8"/>
  <c r="CB188" i="8"/>
  <c r="CA188" i="8"/>
  <c r="CB187" i="8"/>
  <c r="CA187" i="8"/>
  <c r="CB186" i="8"/>
  <c r="CA186" i="8"/>
  <c r="CB185" i="8"/>
  <c r="CA185" i="8"/>
  <c r="CB184" i="8"/>
  <c r="CA184" i="8"/>
  <c r="CB183" i="8"/>
  <c r="CA183" i="8"/>
  <c r="CB182" i="8"/>
  <c r="CA182" i="8"/>
  <c r="CB181" i="8"/>
  <c r="CA181" i="8"/>
  <c r="CB180" i="8"/>
  <c r="CA180" i="8"/>
  <c r="CB179" i="8"/>
  <c r="CA179" i="8"/>
  <c r="CB178" i="8"/>
  <c r="CA178" i="8"/>
  <c r="CB177" i="8"/>
  <c r="CA177" i="8"/>
  <c r="CB176" i="8"/>
  <c r="CA176" i="8"/>
  <c r="CB174" i="8"/>
  <c r="CA174" i="8"/>
  <c r="CB173" i="8"/>
  <c r="CA173" i="8"/>
  <c r="CB172" i="8"/>
  <c r="CA172" i="8"/>
  <c r="CB171" i="8"/>
  <c r="CA171" i="8"/>
  <c r="CB170" i="8"/>
  <c r="CA170" i="8"/>
  <c r="CB169" i="8"/>
  <c r="CA169" i="8"/>
  <c r="CB168" i="8"/>
  <c r="CA168" i="8"/>
  <c r="CB167" i="8"/>
  <c r="CA167" i="8"/>
  <c r="CB166" i="8"/>
  <c r="CA166" i="8"/>
  <c r="CB165" i="8"/>
  <c r="CA165" i="8"/>
  <c r="CB164" i="8"/>
  <c r="CA164" i="8"/>
  <c r="CB163" i="8"/>
  <c r="CA163" i="8"/>
  <c r="CB162" i="8"/>
  <c r="CA162" i="8"/>
  <c r="CB161" i="8"/>
  <c r="CA161" i="8"/>
  <c r="CB159" i="8"/>
  <c r="CA159" i="8"/>
  <c r="CB158" i="8"/>
  <c r="CA158" i="8"/>
  <c r="CB157" i="8"/>
  <c r="CA157" i="8"/>
  <c r="CB156" i="8"/>
  <c r="CA156" i="8"/>
  <c r="CB155" i="8"/>
  <c r="CA155" i="8"/>
  <c r="CB154" i="8"/>
  <c r="CA154" i="8"/>
  <c r="CB153" i="8"/>
  <c r="CA153" i="8"/>
  <c r="CB152" i="8"/>
  <c r="CA152" i="8"/>
  <c r="CB151" i="8"/>
  <c r="CA151" i="8"/>
  <c r="CB150" i="8"/>
  <c r="CA150" i="8"/>
  <c r="CB149" i="8"/>
  <c r="CA149" i="8"/>
  <c r="CB148" i="8"/>
  <c r="CA148" i="8"/>
  <c r="CB147" i="8"/>
  <c r="CA147" i="8"/>
  <c r="CB146" i="8"/>
  <c r="CA146" i="8"/>
  <c r="CB145" i="8"/>
  <c r="CA145" i="8"/>
  <c r="CB144" i="8"/>
  <c r="CB140" i="8"/>
  <c r="CA140" i="8"/>
  <c r="CB139" i="8"/>
  <c r="CA139" i="8"/>
  <c r="CB138" i="8"/>
  <c r="CA138" i="8"/>
  <c r="CB137" i="8"/>
  <c r="CA137" i="8"/>
  <c r="CB136" i="8"/>
  <c r="CA136" i="8"/>
  <c r="CB135" i="8"/>
  <c r="CA135" i="8"/>
  <c r="CB134" i="8"/>
  <c r="CA134" i="8"/>
  <c r="CB133" i="8"/>
  <c r="CA133" i="8"/>
  <c r="CB132" i="8"/>
  <c r="CA132" i="8"/>
  <c r="CB130" i="8"/>
  <c r="CA130" i="8"/>
  <c r="CB129" i="8"/>
  <c r="CA129" i="8"/>
  <c r="CB128" i="8"/>
  <c r="CA128" i="8"/>
  <c r="CB127" i="8"/>
  <c r="CA127" i="8"/>
  <c r="CB126" i="8"/>
  <c r="CA126" i="8"/>
  <c r="CB125" i="8"/>
  <c r="CA125" i="8"/>
  <c r="CB124" i="8"/>
  <c r="CA124" i="8"/>
  <c r="CB123" i="8"/>
  <c r="CA123" i="8"/>
  <c r="CB121" i="8"/>
  <c r="CA121" i="8"/>
  <c r="CB120" i="8"/>
  <c r="CA120" i="8"/>
  <c r="CB119" i="8"/>
  <c r="CA119" i="8"/>
  <c r="CB118" i="8"/>
  <c r="CA118" i="8"/>
  <c r="CB117" i="8"/>
  <c r="CA117" i="8"/>
  <c r="CB116" i="8"/>
  <c r="CA116" i="8"/>
  <c r="CB115" i="8"/>
  <c r="CA115" i="8"/>
  <c r="CB114" i="8"/>
  <c r="CA114" i="8"/>
  <c r="CB112" i="8"/>
  <c r="CA112" i="8"/>
  <c r="CB111" i="8"/>
  <c r="CA111" i="8"/>
  <c r="CB110" i="8"/>
  <c r="CA110" i="8"/>
  <c r="CB109" i="8"/>
  <c r="CA109" i="8"/>
  <c r="CB108" i="8"/>
  <c r="CA108" i="8"/>
  <c r="CB107" i="8"/>
  <c r="CA107" i="8"/>
  <c r="CB106" i="8"/>
  <c r="CA106" i="8"/>
  <c r="CB105" i="8"/>
  <c r="CA105" i="8"/>
  <c r="CB104" i="8"/>
  <c r="CA104" i="8"/>
  <c r="CB103" i="8"/>
  <c r="CA103" i="8"/>
  <c r="CB101" i="8"/>
  <c r="CA101" i="8"/>
  <c r="CB100" i="8"/>
  <c r="CA100" i="8"/>
  <c r="CB99" i="8"/>
  <c r="CA99" i="8"/>
  <c r="CB98" i="8"/>
  <c r="CA98" i="8"/>
  <c r="CB97" i="8"/>
  <c r="CA97" i="8"/>
  <c r="CB96" i="8"/>
  <c r="CA96" i="8"/>
  <c r="CB95" i="8"/>
  <c r="CA95" i="8"/>
  <c r="CB94" i="8"/>
  <c r="CA94" i="8"/>
  <c r="CB93" i="8"/>
  <c r="CA93" i="8"/>
  <c r="CB92" i="8"/>
  <c r="CA92" i="8"/>
  <c r="CB91" i="8"/>
  <c r="CA91" i="8"/>
  <c r="CB90" i="8"/>
  <c r="CA90" i="8"/>
  <c r="CB89" i="8"/>
  <c r="CA89" i="8"/>
  <c r="CB88" i="8"/>
  <c r="CA88" i="8"/>
  <c r="CB87" i="8"/>
  <c r="CA87" i="8"/>
  <c r="CB86" i="8"/>
  <c r="CA86" i="8"/>
  <c r="CB85" i="8"/>
  <c r="CA85" i="8"/>
  <c r="CB84" i="8"/>
  <c r="CA84" i="8"/>
  <c r="CB83" i="8"/>
  <c r="CA83" i="8"/>
  <c r="CB82" i="8"/>
  <c r="CA82" i="8"/>
  <c r="CB80" i="8"/>
  <c r="CA80" i="8"/>
  <c r="CB79" i="8"/>
  <c r="CA79" i="8"/>
  <c r="CB78" i="8"/>
  <c r="CA78" i="8"/>
  <c r="CB77" i="8"/>
  <c r="CA77" i="8"/>
  <c r="CB76" i="8"/>
  <c r="CA76" i="8"/>
  <c r="CB74" i="8"/>
  <c r="CA74" i="8"/>
  <c r="CB73" i="8"/>
  <c r="CA73" i="8"/>
  <c r="CB72" i="8"/>
  <c r="CA72" i="8"/>
  <c r="CB71" i="8"/>
  <c r="CA71" i="8"/>
  <c r="CB70" i="8"/>
  <c r="CA70" i="8"/>
  <c r="CB69" i="8"/>
  <c r="CA69" i="8"/>
  <c r="CB68" i="8"/>
  <c r="CA68" i="8"/>
  <c r="CB67" i="8"/>
  <c r="CA67" i="8"/>
  <c r="CB66" i="8"/>
  <c r="CA66" i="8"/>
  <c r="CB65" i="8"/>
  <c r="CA65" i="8"/>
  <c r="CB64" i="8"/>
  <c r="CA64" i="8"/>
  <c r="CB63" i="8"/>
  <c r="CA63" i="8"/>
  <c r="CB62" i="8"/>
  <c r="CA62" i="8"/>
  <c r="CB61" i="8"/>
  <c r="CA61" i="8"/>
  <c r="CB60" i="8"/>
  <c r="CA60" i="8"/>
  <c r="CB59" i="8"/>
  <c r="CA59" i="8"/>
  <c r="CB58" i="8"/>
  <c r="CA58" i="8"/>
  <c r="CB57" i="8"/>
  <c r="CA57" i="8"/>
  <c r="CB56" i="8"/>
  <c r="CA56" i="8"/>
  <c r="CB55" i="8"/>
  <c r="CA55" i="8"/>
  <c r="CB54" i="8"/>
  <c r="CA54" i="8"/>
  <c r="CB53" i="8"/>
  <c r="CA53" i="8"/>
  <c r="CB52" i="8"/>
  <c r="CA52" i="8"/>
  <c r="CB51" i="8"/>
  <c r="CA51" i="8"/>
  <c r="CB50" i="8"/>
  <c r="CA50" i="8"/>
  <c r="CB49" i="8"/>
  <c r="CA49" i="8"/>
  <c r="CB48" i="8"/>
  <c r="CA48" i="8"/>
  <c r="CB47" i="8"/>
  <c r="CA47" i="8"/>
  <c r="CB45" i="8"/>
  <c r="CA45" i="8"/>
  <c r="CB44" i="8"/>
  <c r="CA44" i="8"/>
  <c r="CB42" i="8"/>
  <c r="CA42" i="8"/>
  <c r="CB41" i="8"/>
  <c r="CA41" i="8"/>
  <c r="CB40" i="8"/>
  <c r="CA40" i="8"/>
  <c r="CB39" i="8"/>
  <c r="CA39" i="8"/>
  <c r="CB38" i="8"/>
  <c r="CA38" i="8"/>
  <c r="CB37" i="8"/>
  <c r="CA37" i="8"/>
  <c r="CB36" i="8"/>
  <c r="CA36" i="8"/>
  <c r="CB35" i="8"/>
  <c r="CA35" i="8"/>
  <c r="CB34" i="8"/>
  <c r="CA34" i="8"/>
  <c r="CB32" i="8"/>
  <c r="CA32" i="8"/>
  <c r="CB31" i="8"/>
  <c r="CA31" i="8"/>
  <c r="CB30" i="8"/>
  <c r="CA30" i="8"/>
  <c r="CB29" i="8"/>
  <c r="CA29" i="8"/>
  <c r="CB28" i="8"/>
  <c r="CA28" i="8"/>
  <c r="CB27" i="8"/>
  <c r="CA27" i="8"/>
  <c r="CB26" i="8"/>
  <c r="CA26" i="8"/>
  <c r="CB25" i="8"/>
  <c r="CA25" i="8"/>
  <c r="CB24" i="8"/>
  <c r="CA24" i="8"/>
  <c r="CB23" i="8"/>
  <c r="CA23" i="8"/>
  <c r="CB22" i="8"/>
  <c r="CA22" i="8"/>
  <c r="CB21" i="8"/>
  <c r="CA21" i="8"/>
  <c r="CB20" i="8"/>
  <c r="CA20" i="8"/>
  <c r="CB19" i="8"/>
  <c r="CA19" i="8"/>
  <c r="CB18" i="8"/>
  <c r="CA18" i="8"/>
  <c r="CB17" i="8"/>
  <c r="CA17" i="8"/>
  <c r="CB16" i="8"/>
  <c r="CA16" i="8"/>
  <c r="CB15" i="8"/>
  <c r="CA15" i="8"/>
  <c r="CB14" i="8"/>
  <c r="CA14" i="8"/>
  <c r="CB13" i="8"/>
  <c r="CA13" i="8"/>
  <c r="CB12" i="8"/>
  <c r="CA12" i="8"/>
  <c r="CB11" i="8"/>
  <c r="CA11" i="8"/>
  <c r="CB10" i="8"/>
  <c r="CA10" i="8"/>
  <c r="CB9" i="8"/>
  <c r="CA9" i="8"/>
  <c r="CB8" i="8"/>
  <c r="CA8" i="8"/>
  <c r="CB7" i="8"/>
  <c r="CA7" i="8"/>
  <c r="CB6" i="8"/>
  <c r="CA6" i="8"/>
  <c r="CB5" i="8"/>
  <c r="CA5" i="8"/>
  <c r="O66" i="7"/>
  <c r="N66" i="7"/>
  <c r="M66" i="7"/>
  <c r="J66" i="7"/>
  <c r="G66" i="7"/>
  <c r="E66" i="7"/>
  <c r="AM87" i="7" s="1"/>
  <c r="O65" i="7"/>
  <c r="N65" i="7"/>
  <c r="M65" i="7"/>
  <c r="J65" i="7"/>
  <c r="G65" i="7"/>
  <c r="E65" i="7"/>
  <c r="AM86" i="7" s="1"/>
  <c r="V16" i="6"/>
  <c r="V15" i="6"/>
  <c r="V14" i="6"/>
  <c r="V13" i="6"/>
  <c r="V12" i="6"/>
  <c r="V11" i="6"/>
  <c r="V10" i="6"/>
  <c r="AQ37" i="6" s="1"/>
  <c r="V9" i="6"/>
  <c r="AQ36" i="6" s="1"/>
  <c r="V8" i="6"/>
  <c r="AQ35" i="6" s="1"/>
  <c r="V7" i="6"/>
  <c r="AQ34" i="6" s="1"/>
  <c r="V6" i="6"/>
  <c r="AQ33" i="6" s="1"/>
  <c r="V5" i="6"/>
  <c r="AQ32" i="6" s="1"/>
  <c r="V4" i="6"/>
  <c r="AQ31" i="6" s="1"/>
  <c r="V31" i="6"/>
  <c r="V32" i="6"/>
  <c r="V33" i="6"/>
  <c r="V34" i="6"/>
  <c r="N559" i="3"/>
  <c r="M559" i="3"/>
  <c r="J559" i="3"/>
  <c r="I559" i="3"/>
  <c r="F559" i="3"/>
  <c r="N558" i="3"/>
  <c r="M558" i="3"/>
  <c r="J558" i="3"/>
  <c r="I558" i="3"/>
  <c r="F558" i="3"/>
  <c r="N556" i="3"/>
  <c r="M556" i="3"/>
  <c r="J556" i="3"/>
  <c r="I556" i="3"/>
  <c r="F556" i="3"/>
  <c r="N555" i="3"/>
  <c r="M555" i="3"/>
  <c r="J555" i="3"/>
  <c r="I555" i="3"/>
  <c r="F555" i="3"/>
  <c r="N554" i="3"/>
  <c r="M554" i="3"/>
  <c r="J554" i="3"/>
  <c r="I554" i="3"/>
  <c r="F554" i="3"/>
  <c r="N358" i="3"/>
  <c r="M358" i="3"/>
  <c r="J358" i="3"/>
  <c r="I358" i="3"/>
  <c r="F358" i="3"/>
  <c r="N357" i="3"/>
  <c r="M357" i="3"/>
  <c r="J357" i="3"/>
  <c r="I357" i="3"/>
  <c r="F357" i="3"/>
  <c r="N356" i="3"/>
  <c r="M356" i="3"/>
  <c r="J356" i="3"/>
  <c r="I356" i="3"/>
  <c r="F356" i="3"/>
  <c r="N355" i="3"/>
  <c r="M355" i="3"/>
  <c r="J355" i="3"/>
  <c r="I355" i="3"/>
  <c r="F355" i="3"/>
  <c r="N354" i="3"/>
  <c r="M354" i="3"/>
  <c r="J354" i="3"/>
  <c r="I354" i="3"/>
  <c r="F354" i="3"/>
  <c r="N353" i="3"/>
  <c r="M353" i="3"/>
  <c r="J353" i="3"/>
  <c r="I353" i="3"/>
  <c r="F353" i="3"/>
  <c r="N352" i="3"/>
  <c r="M352" i="3"/>
  <c r="J352" i="3"/>
  <c r="I352" i="3"/>
  <c r="F352" i="3"/>
  <c r="N155" i="3"/>
  <c r="M155" i="3"/>
  <c r="J155" i="3"/>
  <c r="I155" i="3"/>
  <c r="F155" i="3"/>
  <c r="N154" i="3"/>
  <c r="M154" i="3"/>
  <c r="J154" i="3"/>
  <c r="I154" i="3"/>
  <c r="F154" i="3"/>
  <c r="N153" i="3"/>
  <c r="M153" i="3"/>
  <c r="J153" i="3"/>
  <c r="I153" i="3"/>
  <c r="F153" i="3"/>
  <c r="N152" i="3"/>
  <c r="M152" i="3"/>
  <c r="J152" i="3"/>
  <c r="I152" i="3"/>
  <c r="F152" i="3"/>
  <c r="N151" i="3"/>
  <c r="M151" i="3"/>
  <c r="J151" i="3"/>
  <c r="I151" i="3"/>
  <c r="F151" i="3"/>
  <c r="N150" i="3"/>
  <c r="M150" i="3"/>
  <c r="J150" i="3"/>
  <c r="I150" i="3"/>
  <c r="F150" i="3"/>
  <c r="N149" i="3"/>
  <c r="M149" i="3"/>
  <c r="J149" i="3"/>
  <c r="I149" i="3"/>
  <c r="F149" i="3"/>
  <c r="Q86" i="2"/>
  <c r="R86" i="2"/>
  <c r="P86" i="2" s="1"/>
  <c r="P118" i="2" s="1"/>
  <c r="X18" i="2"/>
  <c r="AQ38" i="6" l="1"/>
  <c r="X20" i="2"/>
  <c r="X19" i="2"/>
  <c r="X17" i="2"/>
  <c r="X16" i="2"/>
  <c r="I118" i="2"/>
  <c r="L118" i="2"/>
  <c r="H118" i="2"/>
  <c r="D118" i="2"/>
  <c r="E118" i="2"/>
  <c r="M118" i="2"/>
  <c r="B118" i="2"/>
  <c r="F118" i="2"/>
  <c r="J118" i="2"/>
  <c r="N118" i="2"/>
  <c r="C118" i="2"/>
  <c r="G118" i="2"/>
  <c r="K118" i="2"/>
  <c r="O118" i="2"/>
  <c r="BU251" i="8"/>
  <c r="BT251" i="8"/>
  <c r="BU250" i="8"/>
  <c r="BT250" i="8"/>
  <c r="BU249" i="8"/>
  <c r="BT249" i="8"/>
  <c r="BU248" i="8"/>
  <c r="BT248" i="8"/>
  <c r="BU247" i="8"/>
  <c r="BT247" i="8"/>
  <c r="BU246" i="8"/>
  <c r="BT246" i="8"/>
  <c r="BU245" i="8"/>
  <c r="BU243" i="8"/>
  <c r="BT243" i="8"/>
  <c r="BU241" i="8"/>
  <c r="BT241" i="8"/>
  <c r="BU239" i="8"/>
  <c r="BT239" i="8"/>
  <c r="BU237" i="8"/>
  <c r="BT237" i="8"/>
  <c r="BU236" i="8"/>
  <c r="BT236" i="8"/>
  <c r="BU235" i="8"/>
  <c r="BT235" i="8"/>
  <c r="BU234" i="8"/>
  <c r="BT234" i="8"/>
  <c r="BU232" i="8"/>
  <c r="BT232" i="8"/>
  <c r="BU231" i="8"/>
  <c r="BT231" i="8"/>
  <c r="BU230" i="8"/>
  <c r="BT230" i="8"/>
  <c r="BU229" i="8"/>
  <c r="BT229" i="8"/>
  <c r="BU228" i="8"/>
  <c r="BT228" i="8"/>
  <c r="BU226" i="8"/>
  <c r="BT226" i="8"/>
  <c r="BU221" i="8"/>
  <c r="BT221" i="8"/>
  <c r="BU220" i="8"/>
  <c r="BT220" i="8"/>
  <c r="BU219" i="8"/>
  <c r="BT219" i="8"/>
  <c r="BU218" i="8"/>
  <c r="BT218" i="8"/>
  <c r="BU217" i="8"/>
  <c r="BT217" i="8"/>
  <c r="BU216" i="8"/>
  <c r="BT216" i="8"/>
  <c r="BU213" i="8"/>
  <c r="BT213" i="8"/>
  <c r="BU212" i="8"/>
  <c r="BT212" i="8"/>
  <c r="BU209" i="8"/>
  <c r="BT209" i="8"/>
  <c r="BU207" i="8"/>
  <c r="BT207" i="8"/>
  <c r="BU197" i="8"/>
  <c r="BT197" i="8"/>
  <c r="BU195" i="8"/>
  <c r="BT195" i="8"/>
  <c r="BU194" i="8"/>
  <c r="BT194" i="8"/>
  <c r="BU193" i="8"/>
  <c r="BT193" i="8"/>
  <c r="BU192" i="8"/>
  <c r="BT192" i="8"/>
  <c r="BU191" i="8"/>
  <c r="BT191" i="8"/>
  <c r="BU190" i="8"/>
  <c r="BT190" i="8"/>
  <c r="BU189" i="8"/>
  <c r="BT189" i="8"/>
  <c r="BU188" i="8"/>
  <c r="BT188" i="8"/>
  <c r="BU187" i="8"/>
  <c r="BT187" i="8"/>
  <c r="BU186" i="8"/>
  <c r="BT186" i="8"/>
  <c r="BU185" i="8"/>
  <c r="BT185" i="8"/>
  <c r="BU184" i="8"/>
  <c r="BT184" i="8"/>
  <c r="BU183" i="8"/>
  <c r="BT183" i="8"/>
  <c r="BU182" i="8"/>
  <c r="BT182" i="8"/>
  <c r="BU181" i="8"/>
  <c r="BT181" i="8"/>
  <c r="BU180" i="8"/>
  <c r="BT180" i="8"/>
  <c r="BU179" i="8"/>
  <c r="BT179" i="8"/>
  <c r="BU178" i="8"/>
  <c r="BT178" i="8"/>
  <c r="BU177" i="8"/>
  <c r="BT177" i="8"/>
  <c r="BU176" i="8"/>
  <c r="BT176" i="8"/>
  <c r="BU174" i="8"/>
  <c r="BT174" i="8"/>
  <c r="BU173" i="8"/>
  <c r="BT173" i="8"/>
  <c r="BU172" i="8"/>
  <c r="BT172" i="8"/>
  <c r="BU171" i="8"/>
  <c r="BT171" i="8"/>
  <c r="BU170" i="8"/>
  <c r="BT170" i="8"/>
  <c r="BU169" i="8"/>
  <c r="BT169" i="8"/>
  <c r="BU168" i="8"/>
  <c r="BT168" i="8"/>
  <c r="BU167" i="8"/>
  <c r="BT167" i="8"/>
  <c r="BU166" i="8"/>
  <c r="BT166" i="8"/>
  <c r="BU165" i="8"/>
  <c r="BT165" i="8"/>
  <c r="BU164" i="8"/>
  <c r="BT164" i="8"/>
  <c r="BU163" i="8"/>
  <c r="BT163" i="8"/>
  <c r="BU162" i="8"/>
  <c r="BT162" i="8"/>
  <c r="BU161" i="8"/>
  <c r="BT161" i="8"/>
  <c r="BU159" i="8"/>
  <c r="BT159" i="8"/>
  <c r="BU158" i="8"/>
  <c r="BT158" i="8"/>
  <c r="BU157" i="8"/>
  <c r="BT157" i="8"/>
  <c r="BU156" i="8"/>
  <c r="BT156" i="8"/>
  <c r="BU155" i="8"/>
  <c r="BT155" i="8"/>
  <c r="BU154" i="8"/>
  <c r="BT154" i="8"/>
  <c r="BU153" i="8"/>
  <c r="BT153" i="8"/>
  <c r="BU152" i="8"/>
  <c r="BT152" i="8"/>
  <c r="BU151" i="8"/>
  <c r="BT151" i="8"/>
  <c r="BU150" i="8"/>
  <c r="BT150" i="8"/>
  <c r="BU149" i="8"/>
  <c r="BT149" i="8"/>
  <c r="BU148" i="8"/>
  <c r="BT148" i="8"/>
  <c r="BU147" i="8"/>
  <c r="BT147" i="8"/>
  <c r="BU146" i="8"/>
  <c r="BT146" i="8"/>
  <c r="BU145" i="8"/>
  <c r="BT145" i="8"/>
  <c r="BU144" i="8"/>
  <c r="BT144" i="8"/>
  <c r="BU140" i="8"/>
  <c r="BT140" i="8"/>
  <c r="BU139" i="8"/>
  <c r="BT139" i="8"/>
  <c r="BU138" i="8"/>
  <c r="BT138" i="8"/>
  <c r="BU137" i="8"/>
  <c r="BT137" i="8"/>
  <c r="BU136" i="8"/>
  <c r="BT136" i="8"/>
  <c r="BU135" i="8"/>
  <c r="BT135" i="8"/>
  <c r="BU134" i="8"/>
  <c r="BT134" i="8"/>
  <c r="BU133" i="8"/>
  <c r="BT133" i="8"/>
  <c r="BU132" i="8"/>
  <c r="BT132" i="8"/>
  <c r="BU130" i="8"/>
  <c r="BT130" i="8"/>
  <c r="BU129" i="8"/>
  <c r="BT129" i="8"/>
  <c r="BU128" i="8"/>
  <c r="BT128" i="8"/>
  <c r="BU127" i="8"/>
  <c r="BT127" i="8"/>
  <c r="BU126" i="8"/>
  <c r="BT126" i="8"/>
  <c r="BU125" i="8"/>
  <c r="BT125" i="8"/>
  <c r="BU124" i="8"/>
  <c r="BT124" i="8"/>
  <c r="BU123" i="8"/>
  <c r="BT123" i="8"/>
  <c r="BU121" i="8"/>
  <c r="BT121" i="8"/>
  <c r="BU120" i="8"/>
  <c r="BT120" i="8"/>
  <c r="BU119" i="8"/>
  <c r="BT119" i="8"/>
  <c r="BU118" i="8"/>
  <c r="BT118" i="8"/>
  <c r="BU117" i="8"/>
  <c r="BT117" i="8"/>
  <c r="BU116" i="8"/>
  <c r="BT116" i="8"/>
  <c r="BU115" i="8"/>
  <c r="BT115" i="8"/>
  <c r="BU114" i="8"/>
  <c r="BT114" i="8"/>
  <c r="BU112" i="8"/>
  <c r="BT112" i="8"/>
  <c r="BU111" i="8"/>
  <c r="BT111" i="8"/>
  <c r="BU110" i="8"/>
  <c r="BT110" i="8"/>
  <c r="BU109" i="8"/>
  <c r="BT109" i="8"/>
  <c r="BU108" i="8"/>
  <c r="BT108" i="8"/>
  <c r="BU107" i="8"/>
  <c r="BT107" i="8"/>
  <c r="BU106" i="8"/>
  <c r="BT106" i="8"/>
  <c r="BU105" i="8"/>
  <c r="BT105" i="8"/>
  <c r="BU104" i="8"/>
  <c r="BT104" i="8"/>
  <c r="BU103" i="8"/>
  <c r="BT103" i="8"/>
  <c r="BU102" i="8"/>
  <c r="BT102" i="8"/>
  <c r="BU101" i="8"/>
  <c r="BT101" i="8"/>
  <c r="BU100" i="8"/>
  <c r="BT100" i="8"/>
  <c r="BU99" i="8"/>
  <c r="BT99" i="8"/>
  <c r="BU98" i="8"/>
  <c r="BT98" i="8"/>
  <c r="BU97" i="8"/>
  <c r="BT97" i="8"/>
  <c r="BU96" i="8"/>
  <c r="BT96" i="8"/>
  <c r="BU95" i="8"/>
  <c r="BT95" i="8"/>
  <c r="BU94" i="8"/>
  <c r="BT94" i="8"/>
  <c r="BU93" i="8"/>
  <c r="BT93" i="8"/>
  <c r="BU92" i="8"/>
  <c r="BT92" i="8"/>
  <c r="BU91" i="8"/>
  <c r="BT91" i="8"/>
  <c r="BU90" i="8"/>
  <c r="BT90" i="8"/>
  <c r="BU89" i="8"/>
  <c r="BT89" i="8"/>
  <c r="BU88" i="8"/>
  <c r="BT88" i="8"/>
  <c r="BU87" i="8"/>
  <c r="BT87" i="8"/>
  <c r="BU86" i="8"/>
  <c r="BT86" i="8"/>
  <c r="BU85" i="8"/>
  <c r="BT85" i="8"/>
  <c r="BU84" i="8"/>
  <c r="BT84" i="8"/>
  <c r="BU83" i="8"/>
  <c r="BT83" i="8"/>
  <c r="BU82" i="8"/>
  <c r="BT82" i="8"/>
  <c r="BU81" i="8"/>
  <c r="BT81" i="8"/>
  <c r="BU80" i="8"/>
  <c r="BT80" i="8"/>
  <c r="BU79" i="8"/>
  <c r="BT79" i="8"/>
  <c r="BU78" i="8"/>
  <c r="BT78" i="8"/>
  <c r="BU77" i="8"/>
  <c r="BT77" i="8"/>
  <c r="BU76" i="8"/>
  <c r="BT76" i="8"/>
  <c r="BU74" i="8"/>
  <c r="BT74" i="8"/>
  <c r="BU73" i="8"/>
  <c r="BT73" i="8"/>
  <c r="BU72" i="8"/>
  <c r="BT72" i="8"/>
  <c r="BU71" i="8"/>
  <c r="BT71" i="8"/>
  <c r="BU70" i="8"/>
  <c r="BT70" i="8"/>
  <c r="BU69" i="8"/>
  <c r="BT69" i="8"/>
  <c r="BU68" i="8"/>
  <c r="BT68" i="8"/>
  <c r="BU67" i="8"/>
  <c r="BT67" i="8"/>
  <c r="BU66" i="8"/>
  <c r="BT66" i="8"/>
  <c r="BU65" i="8"/>
  <c r="BT65" i="8"/>
  <c r="BU64" i="8"/>
  <c r="BT64" i="8"/>
  <c r="BU63" i="8"/>
  <c r="BT63" i="8"/>
  <c r="BU62" i="8"/>
  <c r="BT62" i="8"/>
  <c r="BU61" i="8"/>
  <c r="BT61" i="8"/>
  <c r="BU60" i="8"/>
  <c r="BT60" i="8"/>
  <c r="BU59" i="8"/>
  <c r="BT59" i="8"/>
  <c r="BU58" i="8"/>
  <c r="BT58" i="8"/>
  <c r="BU57" i="8"/>
  <c r="BT57" i="8"/>
  <c r="BU56" i="8"/>
  <c r="BT56" i="8"/>
  <c r="BU55" i="8"/>
  <c r="BT55" i="8"/>
  <c r="BU54" i="8"/>
  <c r="BT54" i="8"/>
  <c r="BU53" i="8"/>
  <c r="BT53" i="8"/>
  <c r="BU52" i="8"/>
  <c r="BT52" i="8"/>
  <c r="BU51" i="8"/>
  <c r="BT51" i="8"/>
  <c r="BU50" i="8"/>
  <c r="BT50" i="8"/>
  <c r="BU49" i="8"/>
  <c r="BT49" i="8"/>
  <c r="BU48" i="8"/>
  <c r="BT48" i="8"/>
  <c r="BU47" i="8"/>
  <c r="BT47" i="8"/>
  <c r="BU45" i="8"/>
  <c r="BT45" i="8"/>
  <c r="BU44" i="8"/>
  <c r="BT44" i="8"/>
  <c r="BU42" i="8"/>
  <c r="BT42" i="8"/>
  <c r="BU41" i="8"/>
  <c r="BT41" i="8"/>
  <c r="BU40" i="8"/>
  <c r="BT40" i="8"/>
  <c r="BU39" i="8"/>
  <c r="BT39" i="8"/>
  <c r="BU38" i="8"/>
  <c r="BT38" i="8"/>
  <c r="BU37" i="8"/>
  <c r="BT37" i="8"/>
  <c r="BU36" i="8"/>
  <c r="BT36" i="8"/>
  <c r="BU35" i="8"/>
  <c r="BT35" i="8"/>
  <c r="BU34" i="8"/>
  <c r="BT34" i="8"/>
  <c r="BU32" i="8"/>
  <c r="BT32" i="8"/>
  <c r="BU31" i="8"/>
  <c r="BT31" i="8"/>
  <c r="BU30" i="8"/>
  <c r="BT30" i="8"/>
  <c r="BU29" i="8"/>
  <c r="BT29" i="8"/>
  <c r="BU28" i="8"/>
  <c r="BT28" i="8"/>
  <c r="BU27" i="8"/>
  <c r="BT27" i="8"/>
  <c r="BU26" i="8"/>
  <c r="BT26" i="8"/>
  <c r="BU25" i="8"/>
  <c r="BT25" i="8"/>
  <c r="BU24" i="8"/>
  <c r="BT24" i="8"/>
  <c r="BU23" i="8"/>
  <c r="BT23" i="8"/>
  <c r="BU22" i="8"/>
  <c r="BT22" i="8"/>
  <c r="BU21" i="8"/>
  <c r="BT21" i="8"/>
  <c r="BU20" i="8"/>
  <c r="BT20" i="8"/>
  <c r="BU19" i="8"/>
  <c r="BT19" i="8"/>
  <c r="BU18" i="8"/>
  <c r="BT18" i="8"/>
  <c r="BU17" i="8"/>
  <c r="BT17" i="8"/>
  <c r="BU16" i="8"/>
  <c r="BT16" i="8"/>
  <c r="BU15" i="8"/>
  <c r="BT15" i="8"/>
  <c r="BU14" i="8"/>
  <c r="BT14" i="8"/>
  <c r="BU13" i="8"/>
  <c r="BT13" i="8"/>
  <c r="BU12" i="8"/>
  <c r="BT12" i="8"/>
  <c r="BU11" i="8"/>
  <c r="BT11" i="8"/>
  <c r="BU10" i="8"/>
  <c r="BT10" i="8"/>
  <c r="BU9" i="8"/>
  <c r="BT9" i="8"/>
  <c r="BU8" i="8"/>
  <c r="BT8" i="8"/>
  <c r="BU7" i="8"/>
  <c r="BT7" i="8"/>
  <c r="BU6" i="8"/>
  <c r="BT6" i="8"/>
  <c r="BU5" i="8"/>
  <c r="BT5" i="8"/>
  <c r="O63" i="7"/>
  <c r="N63" i="7"/>
  <c r="M63" i="7"/>
  <c r="J63" i="7"/>
  <c r="G63" i="7"/>
  <c r="E63" i="7"/>
  <c r="AL87" i="7" s="1"/>
  <c r="O62" i="7"/>
  <c r="N62" i="7"/>
  <c r="M62" i="7"/>
  <c r="J62" i="7"/>
  <c r="G62" i="7"/>
  <c r="E62" i="7"/>
  <c r="AL86" i="7" s="1"/>
  <c r="U17" i="6"/>
  <c r="U16" i="6"/>
  <c r="U15" i="6"/>
  <c r="U14" i="6"/>
  <c r="U13" i="6"/>
  <c r="U12" i="6"/>
  <c r="U11" i="6"/>
  <c r="U10" i="6"/>
  <c r="AP37" i="6" s="1"/>
  <c r="U9" i="6"/>
  <c r="AP36" i="6" s="1"/>
  <c r="U8" i="6"/>
  <c r="AP35" i="6" s="1"/>
  <c r="U7" i="6"/>
  <c r="AP34" i="6" s="1"/>
  <c r="U6" i="6"/>
  <c r="AP33" i="6" s="1"/>
  <c r="U5" i="6"/>
  <c r="AP32" i="6" s="1"/>
  <c r="U4" i="6"/>
  <c r="AP31" i="6" s="1"/>
  <c r="AP38" i="6" l="1"/>
  <c r="N551" i="3"/>
  <c r="M551" i="3"/>
  <c r="J551" i="3"/>
  <c r="I551" i="3"/>
  <c r="F551" i="3"/>
  <c r="N550" i="3"/>
  <c r="M550" i="3"/>
  <c r="J550" i="3"/>
  <c r="I550" i="3"/>
  <c r="F550" i="3"/>
  <c r="N548" i="3"/>
  <c r="M548" i="3"/>
  <c r="J548" i="3"/>
  <c r="I548" i="3"/>
  <c r="F548" i="3"/>
  <c r="N547" i="3"/>
  <c r="M547" i="3"/>
  <c r="J547" i="3"/>
  <c r="I547" i="3"/>
  <c r="F547" i="3"/>
  <c r="N546" i="3"/>
  <c r="M546" i="3"/>
  <c r="J546" i="3"/>
  <c r="I546" i="3"/>
  <c r="F546" i="3"/>
  <c r="N350" i="3"/>
  <c r="M350" i="3"/>
  <c r="J350" i="3"/>
  <c r="I350" i="3"/>
  <c r="F350" i="3"/>
  <c r="N349" i="3"/>
  <c r="M349" i="3"/>
  <c r="J349" i="3"/>
  <c r="I349" i="3"/>
  <c r="F349" i="3"/>
  <c r="N348" i="3"/>
  <c r="M348" i="3"/>
  <c r="J348" i="3"/>
  <c r="I348" i="3"/>
  <c r="F348" i="3"/>
  <c r="N347" i="3"/>
  <c r="M347" i="3"/>
  <c r="J347" i="3"/>
  <c r="I347" i="3"/>
  <c r="F347" i="3"/>
  <c r="N346" i="3"/>
  <c r="M346" i="3"/>
  <c r="J346" i="3"/>
  <c r="I346" i="3"/>
  <c r="F346" i="3"/>
  <c r="N345" i="3"/>
  <c r="M345" i="3"/>
  <c r="J345" i="3"/>
  <c r="I345" i="3"/>
  <c r="F345" i="3"/>
  <c r="N344" i="3"/>
  <c r="M344" i="3"/>
  <c r="J344" i="3"/>
  <c r="I344" i="3"/>
  <c r="F344" i="3"/>
  <c r="N147" i="3"/>
  <c r="M147" i="3"/>
  <c r="J147" i="3"/>
  <c r="I147" i="3"/>
  <c r="F147" i="3"/>
  <c r="N146" i="3"/>
  <c r="M146" i="3"/>
  <c r="J146" i="3"/>
  <c r="I146" i="3"/>
  <c r="F146" i="3"/>
  <c r="N145" i="3"/>
  <c r="M145" i="3"/>
  <c r="J145" i="3"/>
  <c r="F145" i="3"/>
  <c r="N144" i="3"/>
  <c r="M144" i="3"/>
  <c r="J144" i="3"/>
  <c r="I144" i="3"/>
  <c r="F144" i="3"/>
  <c r="N143" i="3"/>
  <c r="M143" i="3"/>
  <c r="J143" i="3"/>
  <c r="I143" i="3"/>
  <c r="F143" i="3"/>
  <c r="N142" i="3"/>
  <c r="M142" i="3"/>
  <c r="J142" i="3"/>
  <c r="I142" i="3"/>
  <c r="F142" i="3"/>
  <c r="N141" i="3"/>
  <c r="M141" i="3"/>
  <c r="J141" i="3"/>
  <c r="I141" i="3"/>
  <c r="F141" i="3"/>
  <c r="Q85" i="2"/>
  <c r="Q84" i="2"/>
  <c r="Q83" i="2"/>
  <c r="Q82" i="2"/>
  <c r="R85" i="2"/>
  <c r="P85" i="2" s="1"/>
  <c r="P117" i="2" s="1"/>
  <c r="U18" i="2"/>
  <c r="U20" i="2" s="1"/>
  <c r="I145" i="3" l="1"/>
  <c r="N117" i="2"/>
  <c r="I117" i="2"/>
  <c r="D117" i="2"/>
  <c r="M117" i="2"/>
  <c r="H117" i="2"/>
  <c r="B117" i="2"/>
  <c r="L117" i="2"/>
  <c r="F117" i="2"/>
  <c r="J117" i="2"/>
  <c r="E117" i="2"/>
  <c r="O117" i="2"/>
  <c r="K117" i="2"/>
  <c r="G117" i="2"/>
  <c r="C117" i="2"/>
  <c r="U19" i="2"/>
  <c r="U16" i="2"/>
  <c r="A8" i="1" l="1"/>
  <c r="BN251" i="8"/>
  <c r="BM251" i="8"/>
  <c r="BN250" i="8"/>
  <c r="BM250" i="8"/>
  <c r="BN249" i="8"/>
  <c r="BM249" i="8"/>
  <c r="BN248" i="8"/>
  <c r="BM248" i="8"/>
  <c r="BN247" i="8"/>
  <c r="BM247" i="8"/>
  <c r="BN246" i="8"/>
  <c r="BM246" i="8"/>
  <c r="BN245" i="8"/>
  <c r="BM245" i="8"/>
  <c r="BN243" i="8"/>
  <c r="BM243" i="8"/>
  <c r="BN241" i="8"/>
  <c r="BM241" i="8"/>
  <c r="BN239" i="8"/>
  <c r="BM239" i="8"/>
  <c r="BN237" i="8"/>
  <c r="BM237" i="8"/>
  <c r="BN236" i="8"/>
  <c r="BM236" i="8"/>
  <c r="BN235" i="8"/>
  <c r="BM235" i="8"/>
  <c r="BN234" i="8"/>
  <c r="BM234" i="8"/>
  <c r="BN232" i="8"/>
  <c r="BM232" i="8"/>
  <c r="BN231" i="8"/>
  <c r="BM231" i="8"/>
  <c r="BN230" i="8"/>
  <c r="BM230" i="8"/>
  <c r="BN229" i="8"/>
  <c r="BM229" i="8"/>
  <c r="BN228" i="8"/>
  <c r="BM228" i="8"/>
  <c r="BN226" i="8"/>
  <c r="BM226" i="8"/>
  <c r="BN225" i="8"/>
  <c r="BM225" i="8"/>
  <c r="BN224" i="8"/>
  <c r="BM224" i="8"/>
  <c r="BN221" i="8"/>
  <c r="BM221" i="8"/>
  <c r="BN220" i="8"/>
  <c r="BM220" i="8"/>
  <c r="BN219" i="8"/>
  <c r="BM219" i="8"/>
  <c r="BN218" i="8"/>
  <c r="BM218" i="8"/>
  <c r="BN217" i="8"/>
  <c r="BM217" i="8"/>
  <c r="BN216" i="8"/>
  <c r="BM216" i="8"/>
  <c r="BN215" i="8"/>
  <c r="BM215" i="8"/>
  <c r="BN213" i="8"/>
  <c r="BM213" i="8"/>
  <c r="BN212" i="8"/>
  <c r="BM212" i="8"/>
  <c r="BN209" i="8"/>
  <c r="BM209" i="8"/>
  <c r="BN207" i="8"/>
  <c r="BM207" i="8"/>
  <c r="BN197" i="8"/>
  <c r="BM197" i="8"/>
  <c r="BN196" i="8"/>
  <c r="BM196" i="8"/>
  <c r="BN195" i="8"/>
  <c r="BM195" i="8"/>
  <c r="BN194" i="8"/>
  <c r="BM194" i="8"/>
  <c r="BN193" i="8"/>
  <c r="BM193" i="8"/>
  <c r="BN192" i="8"/>
  <c r="BM192" i="8"/>
  <c r="BN191" i="8"/>
  <c r="BM191" i="8"/>
  <c r="BN190" i="8"/>
  <c r="BM190" i="8"/>
  <c r="BN189" i="8"/>
  <c r="BM189" i="8"/>
  <c r="BN188" i="8"/>
  <c r="BM188" i="8"/>
  <c r="BN187" i="8"/>
  <c r="BM187" i="8"/>
  <c r="BN186" i="8"/>
  <c r="BM186" i="8"/>
  <c r="BN185" i="8"/>
  <c r="BM185" i="8"/>
  <c r="BN184" i="8"/>
  <c r="BM184" i="8"/>
  <c r="BN183" i="8"/>
  <c r="BM183" i="8"/>
  <c r="BN182" i="8"/>
  <c r="BM182" i="8"/>
  <c r="BN181" i="8"/>
  <c r="BM181" i="8"/>
  <c r="BN180" i="8"/>
  <c r="BM180" i="8"/>
  <c r="BN179" i="8"/>
  <c r="BM179" i="8"/>
  <c r="BN178" i="8"/>
  <c r="BM178" i="8"/>
  <c r="BN177" i="8"/>
  <c r="BM177" i="8"/>
  <c r="BN176" i="8"/>
  <c r="BM176" i="8"/>
  <c r="BN174" i="8"/>
  <c r="BM174" i="8"/>
  <c r="BN173" i="8"/>
  <c r="BM173" i="8"/>
  <c r="BN172" i="8"/>
  <c r="BM172" i="8"/>
  <c r="BN171" i="8"/>
  <c r="BM171" i="8"/>
  <c r="BN170" i="8"/>
  <c r="BM170" i="8"/>
  <c r="BN169" i="8"/>
  <c r="BM169" i="8"/>
  <c r="BN168" i="8"/>
  <c r="BM168" i="8"/>
  <c r="BN167" i="8"/>
  <c r="BM167" i="8"/>
  <c r="BN166" i="8"/>
  <c r="BM166" i="8"/>
  <c r="BN165" i="8"/>
  <c r="BM165" i="8"/>
  <c r="BN164" i="8"/>
  <c r="BM164" i="8"/>
  <c r="BN163" i="8"/>
  <c r="BM163" i="8"/>
  <c r="BN162" i="8"/>
  <c r="BM162" i="8"/>
  <c r="BN161" i="8"/>
  <c r="BM161" i="8"/>
  <c r="BN159" i="8"/>
  <c r="BM159" i="8"/>
  <c r="BN158" i="8"/>
  <c r="BM158" i="8"/>
  <c r="BN157" i="8"/>
  <c r="BM157" i="8"/>
  <c r="BN156" i="8"/>
  <c r="BM156" i="8"/>
  <c r="BN155" i="8"/>
  <c r="BM155" i="8"/>
  <c r="BN154" i="8"/>
  <c r="BM154" i="8"/>
  <c r="BN153" i="8"/>
  <c r="BM153" i="8"/>
  <c r="BN152" i="8"/>
  <c r="BM152" i="8"/>
  <c r="BN151" i="8"/>
  <c r="BM151" i="8"/>
  <c r="BN150" i="8"/>
  <c r="BM150" i="8"/>
  <c r="BN149" i="8"/>
  <c r="BM149" i="8"/>
  <c r="BN148" i="8"/>
  <c r="BM148" i="8"/>
  <c r="BN147" i="8"/>
  <c r="BM147" i="8"/>
  <c r="BN146" i="8"/>
  <c r="BM146" i="8"/>
  <c r="BN145" i="8"/>
  <c r="BM145" i="8"/>
  <c r="BN144" i="8"/>
  <c r="BM144" i="8"/>
  <c r="BN140" i="8"/>
  <c r="BM140" i="8"/>
  <c r="BN139" i="8"/>
  <c r="BM139" i="8"/>
  <c r="BN138" i="8"/>
  <c r="BM138" i="8"/>
  <c r="BN137" i="8"/>
  <c r="BM137" i="8"/>
  <c r="BN136" i="8"/>
  <c r="BM136" i="8"/>
  <c r="BN135" i="8"/>
  <c r="BM135" i="8"/>
  <c r="BN134" i="8"/>
  <c r="BM134" i="8"/>
  <c r="BN133" i="8"/>
  <c r="BM133" i="8"/>
  <c r="BN132" i="8"/>
  <c r="BM132" i="8"/>
  <c r="BN130" i="8"/>
  <c r="BM130" i="8"/>
  <c r="BN129" i="8"/>
  <c r="BM129" i="8"/>
  <c r="BN128" i="8"/>
  <c r="BM128" i="8"/>
  <c r="BN127" i="8"/>
  <c r="BM127" i="8"/>
  <c r="BN126" i="8"/>
  <c r="BM126" i="8"/>
  <c r="BN125" i="8"/>
  <c r="BM125" i="8"/>
  <c r="BN124" i="8"/>
  <c r="BM124" i="8"/>
  <c r="BN123" i="8"/>
  <c r="BM123" i="8"/>
  <c r="BN121" i="8"/>
  <c r="BM121" i="8"/>
  <c r="BN120" i="8"/>
  <c r="BM120" i="8"/>
  <c r="BN119" i="8"/>
  <c r="BM119" i="8"/>
  <c r="BN118" i="8"/>
  <c r="BM118" i="8"/>
  <c r="BN117" i="8"/>
  <c r="BM117" i="8"/>
  <c r="BN116" i="8"/>
  <c r="BM116" i="8"/>
  <c r="BN115" i="8"/>
  <c r="BM115" i="8"/>
  <c r="BN114" i="8"/>
  <c r="BM114" i="8"/>
  <c r="BN112" i="8"/>
  <c r="BM112" i="8"/>
  <c r="BN111" i="8"/>
  <c r="BM111" i="8"/>
  <c r="BN110" i="8"/>
  <c r="BM110" i="8"/>
  <c r="BN109" i="8"/>
  <c r="BM109" i="8"/>
  <c r="BN108" i="8"/>
  <c r="BM108" i="8"/>
  <c r="BN107" i="8"/>
  <c r="BM107" i="8"/>
  <c r="BN106" i="8"/>
  <c r="BM106" i="8"/>
  <c r="BN105" i="8"/>
  <c r="BM105" i="8"/>
  <c r="BN104" i="8"/>
  <c r="BM104" i="8"/>
  <c r="BN103" i="8"/>
  <c r="BM103" i="8"/>
  <c r="BN102" i="8"/>
  <c r="BM102" i="8"/>
  <c r="BN101" i="8"/>
  <c r="BM101" i="8"/>
  <c r="BN100" i="8"/>
  <c r="BM100" i="8"/>
  <c r="BN99" i="8"/>
  <c r="BM99" i="8"/>
  <c r="BN98" i="8"/>
  <c r="BM98" i="8"/>
  <c r="BN97" i="8"/>
  <c r="BM97" i="8"/>
  <c r="BN96" i="8"/>
  <c r="BM96" i="8"/>
  <c r="BN95" i="8"/>
  <c r="BM95" i="8"/>
  <c r="BN94" i="8"/>
  <c r="BM94" i="8"/>
  <c r="BN93" i="8"/>
  <c r="BM93" i="8"/>
  <c r="BN92" i="8"/>
  <c r="BM92" i="8"/>
  <c r="BN91" i="8"/>
  <c r="BM91" i="8"/>
  <c r="BN90" i="8"/>
  <c r="BM90" i="8"/>
  <c r="BN89" i="8"/>
  <c r="BM89" i="8"/>
  <c r="BN88" i="8"/>
  <c r="BM88" i="8"/>
  <c r="BN87" i="8"/>
  <c r="BM87" i="8"/>
  <c r="BN86" i="8"/>
  <c r="BM86" i="8"/>
  <c r="BN85" i="8"/>
  <c r="BM85" i="8"/>
  <c r="BN84" i="8"/>
  <c r="BM84" i="8"/>
  <c r="BN83" i="8"/>
  <c r="BM83" i="8"/>
  <c r="BN82" i="8"/>
  <c r="BM82" i="8"/>
  <c r="BN81" i="8"/>
  <c r="BM81" i="8"/>
  <c r="BN80" i="8"/>
  <c r="BM80" i="8"/>
  <c r="BN79" i="8"/>
  <c r="BM79" i="8"/>
  <c r="BN78" i="8"/>
  <c r="BM78" i="8"/>
  <c r="BN77" i="8"/>
  <c r="BM77" i="8"/>
  <c r="BN76" i="8"/>
  <c r="BM76" i="8"/>
  <c r="BN74" i="8"/>
  <c r="BM74" i="8"/>
  <c r="BN73" i="8"/>
  <c r="BM73" i="8"/>
  <c r="BN72" i="8"/>
  <c r="BM72" i="8"/>
  <c r="BN71" i="8"/>
  <c r="BM71" i="8"/>
  <c r="BN70" i="8"/>
  <c r="BM70" i="8"/>
  <c r="BN69" i="8"/>
  <c r="BM69" i="8"/>
  <c r="BN68" i="8"/>
  <c r="BM68" i="8"/>
  <c r="BN67" i="8"/>
  <c r="BM67" i="8"/>
  <c r="BN66" i="8"/>
  <c r="BM66" i="8"/>
  <c r="BN65" i="8"/>
  <c r="BM65" i="8"/>
  <c r="BN64" i="8"/>
  <c r="BM64" i="8"/>
  <c r="BN63" i="8"/>
  <c r="BM63" i="8"/>
  <c r="BN62" i="8"/>
  <c r="BM62" i="8"/>
  <c r="BN61" i="8"/>
  <c r="BM61" i="8"/>
  <c r="BN60" i="8"/>
  <c r="BM60" i="8"/>
  <c r="BN59" i="8"/>
  <c r="BM59" i="8"/>
  <c r="BN58" i="8"/>
  <c r="BM58" i="8"/>
  <c r="BN57" i="8"/>
  <c r="BM57" i="8"/>
  <c r="BN56" i="8"/>
  <c r="BM56" i="8"/>
  <c r="BN55" i="8"/>
  <c r="BM55" i="8"/>
  <c r="BN54" i="8"/>
  <c r="BM54" i="8"/>
  <c r="BN53" i="8"/>
  <c r="BM53" i="8"/>
  <c r="BN52" i="8"/>
  <c r="BM52" i="8"/>
  <c r="BN51" i="8"/>
  <c r="BM51" i="8"/>
  <c r="BN50" i="8"/>
  <c r="BM50" i="8"/>
  <c r="BN49" i="8"/>
  <c r="BM49" i="8"/>
  <c r="BN48" i="8"/>
  <c r="BM48" i="8"/>
  <c r="BN47" i="8"/>
  <c r="BM47" i="8"/>
  <c r="BN45" i="8"/>
  <c r="BM45" i="8"/>
  <c r="BN44" i="8"/>
  <c r="BM44" i="8"/>
  <c r="BN42" i="8"/>
  <c r="BM42" i="8"/>
  <c r="BN41" i="8"/>
  <c r="BM41" i="8"/>
  <c r="BN40" i="8"/>
  <c r="BM40" i="8"/>
  <c r="BN39" i="8"/>
  <c r="BM39" i="8"/>
  <c r="BN38" i="8"/>
  <c r="BM38" i="8"/>
  <c r="BN37" i="8"/>
  <c r="BM37" i="8"/>
  <c r="BN36" i="8"/>
  <c r="BM36" i="8"/>
  <c r="BN35" i="8"/>
  <c r="BM35" i="8"/>
  <c r="BN34" i="8"/>
  <c r="BM34" i="8"/>
  <c r="BN32" i="8"/>
  <c r="BM32" i="8"/>
  <c r="BN31" i="8"/>
  <c r="BM31" i="8"/>
  <c r="BN30" i="8"/>
  <c r="BM30" i="8"/>
  <c r="BN29" i="8"/>
  <c r="BM29" i="8"/>
  <c r="BN28" i="8"/>
  <c r="BM28" i="8"/>
  <c r="BN27" i="8"/>
  <c r="BM27" i="8"/>
  <c r="BN26" i="8"/>
  <c r="BM26" i="8"/>
  <c r="BN25" i="8"/>
  <c r="BM25" i="8"/>
  <c r="BN24" i="8"/>
  <c r="BM24" i="8"/>
  <c r="BN23" i="8"/>
  <c r="BM23" i="8"/>
  <c r="BN22" i="8"/>
  <c r="BM22" i="8"/>
  <c r="BN21" i="8"/>
  <c r="BM21" i="8"/>
  <c r="BN20" i="8"/>
  <c r="BM20" i="8"/>
  <c r="BN19" i="8"/>
  <c r="BM19" i="8"/>
  <c r="BN18" i="8"/>
  <c r="BM18" i="8"/>
  <c r="BN17" i="8"/>
  <c r="BM17" i="8"/>
  <c r="BN16" i="8"/>
  <c r="BM16" i="8"/>
  <c r="BN15" i="8"/>
  <c r="BM15" i="8"/>
  <c r="BN14" i="8"/>
  <c r="BM14" i="8"/>
  <c r="BN13" i="8"/>
  <c r="BM13" i="8"/>
  <c r="BN12" i="8"/>
  <c r="BM12" i="8"/>
  <c r="BN11" i="8"/>
  <c r="BM11" i="8"/>
  <c r="BN10" i="8"/>
  <c r="BM10" i="8"/>
  <c r="BN9" i="8"/>
  <c r="BM9" i="8"/>
  <c r="BN8" i="8"/>
  <c r="BM8" i="8"/>
  <c r="BN7" i="8"/>
  <c r="BM7" i="8"/>
  <c r="BN6" i="8"/>
  <c r="BM6" i="8"/>
  <c r="BN5" i="8"/>
  <c r="BM5" i="8"/>
  <c r="BG251" i="8"/>
  <c r="BF251" i="8"/>
  <c r="O60" i="7"/>
  <c r="N60" i="7"/>
  <c r="M60" i="7"/>
  <c r="J60" i="7"/>
  <c r="G60" i="7"/>
  <c r="E60" i="7"/>
  <c r="AK87" i="7" s="1"/>
  <c r="O59" i="7"/>
  <c r="N59" i="7"/>
  <c r="M59" i="7"/>
  <c r="J59" i="7"/>
  <c r="G59" i="7"/>
  <c r="E59" i="7"/>
  <c r="AK86" i="7" s="1"/>
  <c r="T17" i="6"/>
  <c r="T16" i="6"/>
  <c r="T15" i="6"/>
  <c r="T14" i="6"/>
  <c r="T13" i="6"/>
  <c r="T12" i="6"/>
  <c r="T11" i="6"/>
  <c r="T10" i="6"/>
  <c r="AO37" i="6" s="1"/>
  <c r="T9" i="6"/>
  <c r="AO36" i="6" s="1"/>
  <c r="T8" i="6"/>
  <c r="AO35" i="6" s="1"/>
  <c r="T7" i="6"/>
  <c r="AO34" i="6" s="1"/>
  <c r="T6" i="6"/>
  <c r="AO33" i="6" s="1"/>
  <c r="T5" i="6"/>
  <c r="AO32" i="6" s="1"/>
  <c r="T4" i="6"/>
  <c r="AO31" i="6" s="1"/>
  <c r="S17" i="6"/>
  <c r="S5" i="6"/>
  <c r="AN32" i="6" s="1"/>
  <c r="S6" i="6"/>
  <c r="AN33" i="6" s="1"/>
  <c r="S7" i="6"/>
  <c r="AN34" i="6" s="1"/>
  <c r="S8" i="6"/>
  <c r="AN35" i="6" s="1"/>
  <c r="S9" i="6"/>
  <c r="AN36" i="6" s="1"/>
  <c r="S10" i="6"/>
  <c r="AN37" i="6" s="1"/>
  <c r="S11" i="6"/>
  <c r="S12" i="6"/>
  <c r="S13" i="6"/>
  <c r="S14" i="6"/>
  <c r="S15" i="6"/>
  <c r="S16" i="6"/>
  <c r="S4" i="6"/>
  <c r="AN31" i="6" s="1"/>
  <c r="N99" i="4"/>
  <c r="M99" i="4"/>
  <c r="L99" i="4"/>
  <c r="K99" i="4"/>
  <c r="J99" i="4"/>
  <c r="I99" i="4"/>
  <c r="H99" i="4"/>
  <c r="G99" i="4"/>
  <c r="F99" i="4"/>
  <c r="E99" i="4"/>
  <c r="D99" i="4"/>
  <c r="C99" i="4"/>
  <c r="B99" i="4"/>
  <c r="B89" i="4"/>
  <c r="C89" i="4"/>
  <c r="D89" i="4"/>
  <c r="E89" i="4"/>
  <c r="F89" i="4"/>
  <c r="G89" i="4"/>
  <c r="H89" i="4"/>
  <c r="I89" i="4"/>
  <c r="J89" i="4"/>
  <c r="K89" i="4"/>
  <c r="L89" i="4"/>
  <c r="M89" i="4"/>
  <c r="N89" i="4"/>
  <c r="B90" i="4"/>
  <c r="C90" i="4"/>
  <c r="D90" i="4"/>
  <c r="E90" i="4"/>
  <c r="F90" i="4"/>
  <c r="G90" i="4"/>
  <c r="H90" i="4"/>
  <c r="I90" i="4"/>
  <c r="J90" i="4"/>
  <c r="K90" i="4"/>
  <c r="L90" i="4"/>
  <c r="M90" i="4"/>
  <c r="N90" i="4"/>
  <c r="B91" i="4"/>
  <c r="C91" i="4"/>
  <c r="D91" i="4"/>
  <c r="E91" i="4"/>
  <c r="F91" i="4"/>
  <c r="G91" i="4"/>
  <c r="H91" i="4"/>
  <c r="I91" i="4"/>
  <c r="J91" i="4"/>
  <c r="K91" i="4"/>
  <c r="L91" i="4"/>
  <c r="M91" i="4"/>
  <c r="N91" i="4"/>
  <c r="B92" i="4"/>
  <c r="C92" i="4"/>
  <c r="D92" i="4"/>
  <c r="E92" i="4"/>
  <c r="F92" i="4"/>
  <c r="G92" i="4"/>
  <c r="H92" i="4"/>
  <c r="I92" i="4"/>
  <c r="J92" i="4"/>
  <c r="K92" i="4"/>
  <c r="L92" i="4"/>
  <c r="M92" i="4"/>
  <c r="N92" i="4"/>
  <c r="B93" i="4"/>
  <c r="C93" i="4"/>
  <c r="D93" i="4"/>
  <c r="E93" i="4"/>
  <c r="F93" i="4"/>
  <c r="G93" i="4"/>
  <c r="H93" i="4"/>
  <c r="I93" i="4"/>
  <c r="J93" i="4"/>
  <c r="K93" i="4"/>
  <c r="L93" i="4"/>
  <c r="M93" i="4"/>
  <c r="N93" i="4"/>
  <c r="B94" i="4"/>
  <c r="C94" i="4"/>
  <c r="D94" i="4"/>
  <c r="E94" i="4"/>
  <c r="F94" i="4"/>
  <c r="G94" i="4"/>
  <c r="H94" i="4"/>
  <c r="I94" i="4"/>
  <c r="J94" i="4"/>
  <c r="K94" i="4"/>
  <c r="L94" i="4"/>
  <c r="M94" i="4"/>
  <c r="N94" i="4"/>
  <c r="B95" i="4"/>
  <c r="C95" i="4"/>
  <c r="D95" i="4"/>
  <c r="E95" i="4"/>
  <c r="F95" i="4"/>
  <c r="G95" i="4"/>
  <c r="H95" i="4"/>
  <c r="I95" i="4"/>
  <c r="J95" i="4"/>
  <c r="K95" i="4"/>
  <c r="L95" i="4"/>
  <c r="M95" i="4"/>
  <c r="N95" i="4"/>
  <c r="B96" i="4"/>
  <c r="C96" i="4"/>
  <c r="D96" i="4"/>
  <c r="E96" i="4"/>
  <c r="F96" i="4"/>
  <c r="G96" i="4"/>
  <c r="H96" i="4"/>
  <c r="I96" i="4"/>
  <c r="J96" i="4"/>
  <c r="K96" i="4"/>
  <c r="L96" i="4"/>
  <c r="M96" i="4"/>
  <c r="N96" i="4"/>
  <c r="B97" i="4"/>
  <c r="C97" i="4"/>
  <c r="D97" i="4"/>
  <c r="E97" i="4"/>
  <c r="F97" i="4"/>
  <c r="G97" i="4"/>
  <c r="H97" i="4"/>
  <c r="I97" i="4"/>
  <c r="J97" i="4"/>
  <c r="K97" i="4"/>
  <c r="L97" i="4"/>
  <c r="M97" i="4"/>
  <c r="N97" i="4"/>
  <c r="B77" i="4"/>
  <c r="C77" i="4"/>
  <c r="D77" i="4"/>
  <c r="E77" i="4"/>
  <c r="F77" i="4"/>
  <c r="G77" i="4"/>
  <c r="H77" i="4"/>
  <c r="I77" i="4"/>
  <c r="J77" i="4"/>
  <c r="K77" i="4"/>
  <c r="L77" i="4"/>
  <c r="M77" i="4"/>
  <c r="N77" i="4"/>
  <c r="B78" i="4"/>
  <c r="C78" i="4"/>
  <c r="D78" i="4"/>
  <c r="E78" i="4"/>
  <c r="F78" i="4"/>
  <c r="G78" i="4"/>
  <c r="H78" i="4"/>
  <c r="I78" i="4"/>
  <c r="J78" i="4"/>
  <c r="K78" i="4"/>
  <c r="L78" i="4"/>
  <c r="M78" i="4"/>
  <c r="N78" i="4"/>
  <c r="B79" i="4"/>
  <c r="C79" i="4"/>
  <c r="D79" i="4"/>
  <c r="E79" i="4"/>
  <c r="F79" i="4"/>
  <c r="G79" i="4"/>
  <c r="H79" i="4"/>
  <c r="I79" i="4"/>
  <c r="J79" i="4"/>
  <c r="K79" i="4"/>
  <c r="L79" i="4"/>
  <c r="M79" i="4"/>
  <c r="N79" i="4"/>
  <c r="B80" i="4"/>
  <c r="C80" i="4"/>
  <c r="D80" i="4"/>
  <c r="E80" i="4"/>
  <c r="F80" i="4"/>
  <c r="G80" i="4"/>
  <c r="H80" i="4"/>
  <c r="I80" i="4"/>
  <c r="J80" i="4"/>
  <c r="K80" i="4"/>
  <c r="L80" i="4"/>
  <c r="M80" i="4"/>
  <c r="N80" i="4"/>
  <c r="B81" i="4"/>
  <c r="C81" i="4"/>
  <c r="D81" i="4"/>
  <c r="E81" i="4"/>
  <c r="F81" i="4"/>
  <c r="G81" i="4"/>
  <c r="H81" i="4"/>
  <c r="I81" i="4"/>
  <c r="J81" i="4"/>
  <c r="K81" i="4"/>
  <c r="L81" i="4"/>
  <c r="M81" i="4"/>
  <c r="N81" i="4"/>
  <c r="B82" i="4"/>
  <c r="C82" i="4"/>
  <c r="D82" i="4"/>
  <c r="E82" i="4"/>
  <c r="F82" i="4"/>
  <c r="G82" i="4"/>
  <c r="H82" i="4"/>
  <c r="I82" i="4"/>
  <c r="J82" i="4"/>
  <c r="K82" i="4"/>
  <c r="L82" i="4"/>
  <c r="M82" i="4"/>
  <c r="N82" i="4"/>
  <c r="B83" i="4"/>
  <c r="C83" i="4"/>
  <c r="D83" i="4"/>
  <c r="E83" i="4"/>
  <c r="F83" i="4"/>
  <c r="G83" i="4"/>
  <c r="H83" i="4"/>
  <c r="I83" i="4"/>
  <c r="J83" i="4"/>
  <c r="K83" i="4"/>
  <c r="L83" i="4"/>
  <c r="M83" i="4"/>
  <c r="N83" i="4"/>
  <c r="B84" i="4"/>
  <c r="C84" i="4"/>
  <c r="D84" i="4"/>
  <c r="E84" i="4"/>
  <c r="F84" i="4"/>
  <c r="G84" i="4"/>
  <c r="H84" i="4"/>
  <c r="I84" i="4"/>
  <c r="J84" i="4"/>
  <c r="K84" i="4"/>
  <c r="L84" i="4"/>
  <c r="M84" i="4"/>
  <c r="N84" i="4"/>
  <c r="B85" i="4"/>
  <c r="C85" i="4"/>
  <c r="D85" i="4"/>
  <c r="E85" i="4"/>
  <c r="F85" i="4"/>
  <c r="G85" i="4"/>
  <c r="H85" i="4"/>
  <c r="I85" i="4"/>
  <c r="J85" i="4"/>
  <c r="K85" i="4"/>
  <c r="L85" i="4"/>
  <c r="M85" i="4"/>
  <c r="N85" i="4"/>
  <c r="N87" i="4"/>
  <c r="M87" i="4"/>
  <c r="L87" i="4"/>
  <c r="K87" i="4"/>
  <c r="J87" i="4"/>
  <c r="I87" i="4"/>
  <c r="H87" i="4"/>
  <c r="G87" i="4"/>
  <c r="F87" i="4"/>
  <c r="E87" i="4"/>
  <c r="D87" i="4"/>
  <c r="C87" i="4"/>
  <c r="B87" i="4"/>
  <c r="D75" i="4"/>
  <c r="E75" i="4"/>
  <c r="F75" i="4"/>
  <c r="F66" i="4"/>
  <c r="F67" i="4"/>
  <c r="F68" i="4"/>
  <c r="F69" i="4"/>
  <c r="F70" i="4"/>
  <c r="F71" i="4"/>
  <c r="F72" i="4"/>
  <c r="F73" i="4"/>
  <c r="F65" i="4"/>
  <c r="F15" i="4"/>
  <c r="S73" i="4"/>
  <c r="S72" i="4"/>
  <c r="S71" i="4"/>
  <c r="S70" i="4"/>
  <c r="S69" i="4"/>
  <c r="S68" i="4"/>
  <c r="S67" i="4"/>
  <c r="S66" i="4"/>
  <c r="S65" i="4"/>
  <c r="T63" i="4"/>
  <c r="S63" i="4"/>
  <c r="S95" i="4" s="1"/>
  <c r="T51" i="4"/>
  <c r="S51" i="4"/>
  <c r="S37" i="4"/>
  <c r="S36" i="4"/>
  <c r="S35" i="4"/>
  <c r="S34" i="4"/>
  <c r="S33" i="4"/>
  <c r="S32" i="4"/>
  <c r="S31" i="4"/>
  <c r="S30" i="4"/>
  <c r="S29" i="4"/>
  <c r="T27" i="4"/>
  <c r="T15" i="4"/>
  <c r="S27" i="4"/>
  <c r="S87" i="4" s="1"/>
  <c r="S15" i="4"/>
  <c r="G542" i="3"/>
  <c r="D542" i="3"/>
  <c r="F542" i="3" s="1"/>
  <c r="G340" i="3"/>
  <c r="D340" i="3"/>
  <c r="J137" i="3"/>
  <c r="G137" i="3"/>
  <c r="D137" i="3"/>
  <c r="F137" i="3" s="1"/>
  <c r="N543" i="3"/>
  <c r="M543" i="3"/>
  <c r="J543" i="3"/>
  <c r="I543" i="3"/>
  <c r="F543" i="3"/>
  <c r="N542" i="3"/>
  <c r="M542" i="3"/>
  <c r="J542" i="3"/>
  <c r="N540" i="3"/>
  <c r="M540" i="3"/>
  <c r="J540" i="3"/>
  <c r="I540" i="3"/>
  <c r="F540" i="3"/>
  <c r="N539" i="3"/>
  <c r="M539" i="3"/>
  <c r="J539" i="3"/>
  <c r="I539" i="3"/>
  <c r="F539" i="3"/>
  <c r="N538" i="3"/>
  <c r="M538" i="3"/>
  <c r="J538" i="3"/>
  <c r="I538" i="3"/>
  <c r="F538" i="3"/>
  <c r="N342" i="3"/>
  <c r="M342" i="3"/>
  <c r="J342" i="3"/>
  <c r="I342" i="3"/>
  <c r="F342" i="3"/>
  <c r="N341" i="3"/>
  <c r="M341" i="3"/>
  <c r="J341" i="3"/>
  <c r="I341" i="3"/>
  <c r="F341" i="3"/>
  <c r="N340" i="3"/>
  <c r="M340" i="3"/>
  <c r="J340" i="3"/>
  <c r="N339" i="3"/>
  <c r="M339" i="3"/>
  <c r="J339" i="3"/>
  <c r="I339" i="3"/>
  <c r="F339" i="3"/>
  <c r="N338" i="3"/>
  <c r="M338" i="3"/>
  <c r="J338" i="3"/>
  <c r="I338" i="3"/>
  <c r="F338" i="3"/>
  <c r="N337" i="3"/>
  <c r="M337" i="3"/>
  <c r="J337" i="3"/>
  <c r="I337" i="3"/>
  <c r="F337" i="3"/>
  <c r="N336" i="3"/>
  <c r="M336" i="3"/>
  <c r="J336" i="3"/>
  <c r="I336" i="3"/>
  <c r="F336" i="3"/>
  <c r="N139" i="3"/>
  <c r="M139" i="3"/>
  <c r="J139" i="3"/>
  <c r="I139" i="3"/>
  <c r="F139" i="3"/>
  <c r="N138" i="3"/>
  <c r="M138" i="3"/>
  <c r="J138" i="3"/>
  <c r="I138" i="3"/>
  <c r="F138" i="3"/>
  <c r="M137" i="3"/>
  <c r="N136" i="3"/>
  <c r="M136" i="3"/>
  <c r="J136" i="3"/>
  <c r="I136" i="3"/>
  <c r="F136" i="3"/>
  <c r="N135" i="3"/>
  <c r="M135" i="3"/>
  <c r="J135" i="3"/>
  <c r="I135" i="3"/>
  <c r="F135" i="3"/>
  <c r="N134" i="3"/>
  <c r="M134" i="3"/>
  <c r="J134" i="3"/>
  <c r="I134" i="3"/>
  <c r="F134" i="3"/>
  <c r="N133" i="3"/>
  <c r="M133" i="3"/>
  <c r="J133" i="3"/>
  <c r="I133" i="3"/>
  <c r="F133" i="3"/>
  <c r="A116" i="2"/>
  <c r="R84" i="2"/>
  <c r="P84" i="2" s="1"/>
  <c r="P116" i="2" s="1"/>
  <c r="R83" i="2"/>
  <c r="P83" i="2" s="1"/>
  <c r="T28" i="2"/>
  <c r="T14" i="2"/>
  <c r="S36" i="2"/>
  <c r="S34" i="2" s="1"/>
  <c r="S35" i="2"/>
  <c r="S33" i="2" s="1"/>
  <c r="S18" i="2"/>
  <c r="S20" i="2" s="1"/>
  <c r="S15" i="2"/>
  <c r="S16" i="2" s="1"/>
  <c r="AO38" i="6" l="1"/>
  <c r="S17" i="2"/>
  <c r="I137" i="3"/>
  <c r="AN38" i="6"/>
  <c r="S75" i="4"/>
  <c r="S97" i="4"/>
  <c r="S83" i="4"/>
  <c r="S99" i="4"/>
  <c r="S92" i="4"/>
  <c r="S93" i="4"/>
  <c r="S84" i="4"/>
  <c r="S79" i="4"/>
  <c r="S89" i="4"/>
  <c r="S94" i="4"/>
  <c r="S80" i="4"/>
  <c r="S90" i="4"/>
  <c r="S96" i="4"/>
  <c r="S77" i="4"/>
  <c r="S81" i="4"/>
  <c r="S85" i="4"/>
  <c r="S91" i="4"/>
  <c r="S39" i="4"/>
  <c r="S78" i="4"/>
  <c r="S82" i="4"/>
  <c r="I542" i="3"/>
  <c r="I340" i="3"/>
  <c r="N137" i="3"/>
  <c r="F340" i="3"/>
  <c r="B116" i="2"/>
  <c r="J116" i="2"/>
  <c r="E116" i="2"/>
  <c r="M116" i="2"/>
  <c r="F116" i="2"/>
  <c r="N116" i="2"/>
  <c r="I116" i="2"/>
  <c r="C116" i="2"/>
  <c r="G116" i="2"/>
  <c r="K116" i="2"/>
  <c r="O116" i="2"/>
  <c r="D116" i="2"/>
  <c r="H116" i="2"/>
  <c r="L116" i="2"/>
  <c r="S30" i="2"/>
  <c r="S31" i="2"/>
  <c r="S19" i="2"/>
  <c r="BG250" i="8"/>
  <c r="BF250" i="8"/>
  <c r="BG249" i="8"/>
  <c r="BF249" i="8"/>
  <c r="BG174" i="8"/>
  <c r="BF174" i="8"/>
  <c r="BG121" i="8"/>
  <c r="BF121" i="8"/>
  <c r="AZ102" i="8"/>
  <c r="AY102" i="8"/>
  <c r="BG102" i="8"/>
  <c r="BF102" i="8"/>
  <c r="BG248" i="8"/>
  <c r="BF248" i="8"/>
  <c r="BG247" i="8"/>
  <c r="BF247" i="8"/>
  <c r="BG246" i="8"/>
  <c r="BF246" i="8"/>
  <c r="BG245" i="8"/>
  <c r="BF245" i="8"/>
  <c r="BG243" i="8"/>
  <c r="BF243" i="8"/>
  <c r="BG241" i="8"/>
  <c r="BF241" i="8"/>
  <c r="BG239" i="8"/>
  <c r="BF239" i="8"/>
  <c r="BG237" i="8"/>
  <c r="BF237" i="8"/>
  <c r="BG236" i="8"/>
  <c r="BF236" i="8"/>
  <c r="BG235" i="8"/>
  <c r="BF235" i="8"/>
  <c r="BG234" i="8"/>
  <c r="BF234" i="8"/>
  <c r="BG232" i="8"/>
  <c r="BF232" i="8"/>
  <c r="BG231" i="8"/>
  <c r="BF231" i="8"/>
  <c r="BG230" i="8"/>
  <c r="BF230" i="8"/>
  <c r="BG229" i="8"/>
  <c r="BF229" i="8"/>
  <c r="BG228" i="8"/>
  <c r="BF228" i="8"/>
  <c r="BG226" i="8"/>
  <c r="BF226" i="8"/>
  <c r="BG225" i="8"/>
  <c r="BF225" i="8"/>
  <c r="BG224" i="8"/>
  <c r="BF224" i="8"/>
  <c r="BG221" i="8"/>
  <c r="BF221" i="8"/>
  <c r="BG220" i="8"/>
  <c r="BF220" i="8"/>
  <c r="BG219" i="8"/>
  <c r="BF219" i="8"/>
  <c r="BG218" i="8"/>
  <c r="BF218" i="8"/>
  <c r="BG217" i="8"/>
  <c r="BF217" i="8"/>
  <c r="BG216" i="8"/>
  <c r="BF216" i="8"/>
  <c r="BG215" i="8"/>
  <c r="BF215" i="8"/>
  <c r="BG213" i="8"/>
  <c r="BF213" i="8"/>
  <c r="BG212" i="8"/>
  <c r="BF212" i="8"/>
  <c r="BG209" i="8"/>
  <c r="BF209" i="8"/>
  <c r="BG207" i="8"/>
  <c r="BF207" i="8"/>
  <c r="BG205" i="8"/>
  <c r="BF205" i="8"/>
  <c r="BG198" i="8"/>
  <c r="BF198" i="8"/>
  <c r="BG197" i="8"/>
  <c r="BF197" i="8"/>
  <c r="BG196" i="8"/>
  <c r="BF196" i="8"/>
  <c r="BG195" i="8"/>
  <c r="BF195" i="8"/>
  <c r="BG194" i="8"/>
  <c r="BF194" i="8"/>
  <c r="BG193" i="8"/>
  <c r="BF193" i="8"/>
  <c r="BG192" i="8"/>
  <c r="BF192" i="8"/>
  <c r="BG191" i="8"/>
  <c r="BF191" i="8"/>
  <c r="BG190" i="8"/>
  <c r="BF190" i="8"/>
  <c r="BG189" i="8"/>
  <c r="BF189" i="8"/>
  <c r="BG188" i="8"/>
  <c r="BF188" i="8"/>
  <c r="BG187" i="8"/>
  <c r="BF187" i="8"/>
  <c r="BG186" i="8"/>
  <c r="BF186" i="8"/>
  <c r="BG185" i="8"/>
  <c r="BF185" i="8"/>
  <c r="BG184" i="8"/>
  <c r="BF184" i="8"/>
  <c r="BG183" i="8"/>
  <c r="BF183" i="8"/>
  <c r="BG182" i="8"/>
  <c r="BF182" i="8"/>
  <c r="BG181" i="8"/>
  <c r="BF181" i="8"/>
  <c r="BG180" i="8"/>
  <c r="BF180" i="8"/>
  <c r="BG179" i="8"/>
  <c r="BF179" i="8"/>
  <c r="BG178" i="8"/>
  <c r="BF178" i="8"/>
  <c r="BG177" i="8"/>
  <c r="BF177" i="8"/>
  <c r="BG176" i="8"/>
  <c r="BF176" i="8"/>
  <c r="BG173" i="8"/>
  <c r="BF173" i="8"/>
  <c r="BG172" i="8"/>
  <c r="BF172" i="8"/>
  <c r="BG171" i="8"/>
  <c r="BF171" i="8"/>
  <c r="BG170" i="8"/>
  <c r="BF170" i="8"/>
  <c r="BG169" i="8"/>
  <c r="BF169" i="8"/>
  <c r="BG168" i="8"/>
  <c r="BF168" i="8"/>
  <c r="BG167" i="8"/>
  <c r="BF167" i="8"/>
  <c r="BG166" i="8"/>
  <c r="BF166" i="8"/>
  <c r="BG165" i="8"/>
  <c r="BF165" i="8"/>
  <c r="BG164" i="8"/>
  <c r="BF164" i="8"/>
  <c r="BG163" i="8"/>
  <c r="BF163" i="8"/>
  <c r="BG162" i="8"/>
  <c r="BF162" i="8"/>
  <c r="BG161" i="8"/>
  <c r="BF161" i="8"/>
  <c r="BG159" i="8"/>
  <c r="BF159" i="8"/>
  <c r="BG158" i="8"/>
  <c r="BF158" i="8"/>
  <c r="BG157" i="8"/>
  <c r="BF157" i="8"/>
  <c r="BG156" i="8"/>
  <c r="BF156" i="8"/>
  <c r="BG155" i="8"/>
  <c r="BF155" i="8"/>
  <c r="BG154" i="8"/>
  <c r="BF154" i="8"/>
  <c r="BG153" i="8"/>
  <c r="BF153" i="8"/>
  <c r="BG152" i="8"/>
  <c r="BF152" i="8"/>
  <c r="BG151" i="8"/>
  <c r="BF151" i="8"/>
  <c r="BG150" i="8"/>
  <c r="BF150" i="8"/>
  <c r="BG149" i="8"/>
  <c r="BF149" i="8"/>
  <c r="BG148" i="8"/>
  <c r="BF148" i="8"/>
  <c r="BG147" i="8"/>
  <c r="BF147" i="8"/>
  <c r="BG146" i="8"/>
  <c r="BF146" i="8"/>
  <c r="BG145" i="8"/>
  <c r="BF145" i="8"/>
  <c r="BG144" i="8"/>
  <c r="BF144" i="8"/>
  <c r="BG140" i="8"/>
  <c r="BF140" i="8"/>
  <c r="BG139" i="8"/>
  <c r="BF139" i="8"/>
  <c r="BG138" i="8"/>
  <c r="BF138" i="8"/>
  <c r="BG137" i="8"/>
  <c r="BF137" i="8"/>
  <c r="BG136" i="8"/>
  <c r="BF136" i="8"/>
  <c r="BG135" i="8"/>
  <c r="BF135" i="8"/>
  <c r="BG134" i="8"/>
  <c r="BF134" i="8"/>
  <c r="BG133" i="8"/>
  <c r="BF133" i="8"/>
  <c r="BG132" i="8"/>
  <c r="BF132" i="8"/>
  <c r="BG130" i="8"/>
  <c r="BF130" i="8"/>
  <c r="BG129" i="8"/>
  <c r="BF129" i="8"/>
  <c r="BG128" i="8"/>
  <c r="BF128" i="8"/>
  <c r="BG127" i="8"/>
  <c r="BF127" i="8"/>
  <c r="BG126" i="8"/>
  <c r="BF126" i="8"/>
  <c r="BG125" i="8"/>
  <c r="BF125" i="8"/>
  <c r="BG124" i="8"/>
  <c r="BF124" i="8"/>
  <c r="BG123" i="8"/>
  <c r="BF123" i="8"/>
  <c r="BG120" i="8"/>
  <c r="BF120" i="8"/>
  <c r="BG119" i="8"/>
  <c r="BF119" i="8"/>
  <c r="BG118" i="8"/>
  <c r="BF118" i="8"/>
  <c r="BG117" i="8"/>
  <c r="BF117" i="8"/>
  <c r="BG116" i="8"/>
  <c r="BF116" i="8"/>
  <c r="BG115" i="8"/>
  <c r="BF115" i="8"/>
  <c r="BG114" i="8"/>
  <c r="BF114" i="8"/>
  <c r="BG112" i="8"/>
  <c r="BF112" i="8"/>
  <c r="BG111" i="8"/>
  <c r="BF111" i="8"/>
  <c r="BG110" i="8"/>
  <c r="BF110" i="8"/>
  <c r="BG109" i="8"/>
  <c r="BF109" i="8"/>
  <c r="BG108" i="8"/>
  <c r="BF108" i="8"/>
  <c r="BG107" i="8"/>
  <c r="BF107" i="8"/>
  <c r="BG106" i="8"/>
  <c r="BF106" i="8"/>
  <c r="BG105" i="8"/>
  <c r="BF105" i="8"/>
  <c r="BG104" i="8"/>
  <c r="BF104" i="8"/>
  <c r="BG103" i="8"/>
  <c r="BF103" i="8"/>
  <c r="BG101" i="8"/>
  <c r="BF101" i="8"/>
  <c r="BG100" i="8"/>
  <c r="BF100" i="8"/>
  <c r="BG99" i="8"/>
  <c r="BF99" i="8"/>
  <c r="BG98" i="8"/>
  <c r="BF98" i="8"/>
  <c r="BG97" i="8"/>
  <c r="BF97" i="8"/>
  <c r="BG96" i="8"/>
  <c r="BF96" i="8"/>
  <c r="BG95" i="8"/>
  <c r="BF95" i="8"/>
  <c r="BG94" i="8"/>
  <c r="BF94" i="8"/>
  <c r="BG93" i="8"/>
  <c r="BF93" i="8"/>
  <c r="BG92" i="8"/>
  <c r="BF92" i="8"/>
  <c r="BG91" i="8"/>
  <c r="BF91" i="8"/>
  <c r="BG90" i="8"/>
  <c r="BF90" i="8"/>
  <c r="BG89" i="8"/>
  <c r="BF89" i="8"/>
  <c r="BG88" i="8"/>
  <c r="BF88" i="8"/>
  <c r="BG87" i="8"/>
  <c r="BF87" i="8"/>
  <c r="BG86" i="8"/>
  <c r="BF86" i="8"/>
  <c r="BG85" i="8"/>
  <c r="BF85" i="8"/>
  <c r="BG84" i="8"/>
  <c r="BF84" i="8"/>
  <c r="BG83" i="8"/>
  <c r="BF83" i="8"/>
  <c r="BG82" i="8"/>
  <c r="BF82" i="8"/>
  <c r="BG81" i="8"/>
  <c r="BF81" i="8"/>
  <c r="BG80" i="8"/>
  <c r="BF80" i="8"/>
  <c r="BG79" i="8"/>
  <c r="BF79" i="8"/>
  <c r="BG78" i="8"/>
  <c r="BF78" i="8"/>
  <c r="BG77" i="8"/>
  <c r="BF77" i="8"/>
  <c r="BG76" i="8"/>
  <c r="BF76" i="8"/>
  <c r="BG74" i="8"/>
  <c r="BF74" i="8"/>
  <c r="BG73" i="8"/>
  <c r="BF73" i="8"/>
  <c r="BG72" i="8"/>
  <c r="BF72" i="8"/>
  <c r="BG71" i="8"/>
  <c r="BF71" i="8"/>
  <c r="BG70" i="8"/>
  <c r="BF70" i="8"/>
  <c r="BG69" i="8"/>
  <c r="BF69" i="8"/>
  <c r="BG68" i="8"/>
  <c r="BF68" i="8"/>
  <c r="BG67" i="8"/>
  <c r="BF67" i="8"/>
  <c r="BG66" i="8"/>
  <c r="BF66" i="8"/>
  <c r="BG65" i="8"/>
  <c r="BF65" i="8"/>
  <c r="BG64" i="8"/>
  <c r="BF64" i="8"/>
  <c r="BG63" i="8"/>
  <c r="BF63" i="8"/>
  <c r="BG62" i="8"/>
  <c r="BF62" i="8"/>
  <c r="BG61" i="8"/>
  <c r="BF61" i="8"/>
  <c r="BG60" i="8"/>
  <c r="BF60" i="8"/>
  <c r="BG59" i="8"/>
  <c r="BF59" i="8"/>
  <c r="BG58" i="8"/>
  <c r="BF58" i="8"/>
  <c r="BG57" i="8"/>
  <c r="BF57" i="8"/>
  <c r="BG56" i="8"/>
  <c r="BF56" i="8"/>
  <c r="BG55" i="8"/>
  <c r="BF55" i="8"/>
  <c r="BG54" i="8"/>
  <c r="BF54" i="8"/>
  <c r="BG53" i="8"/>
  <c r="BF53" i="8"/>
  <c r="BG52" i="8"/>
  <c r="BF52" i="8"/>
  <c r="BG51" i="8"/>
  <c r="BF51" i="8"/>
  <c r="BG50" i="8"/>
  <c r="BF50" i="8"/>
  <c r="BG49" i="8"/>
  <c r="BF49" i="8"/>
  <c r="BG48" i="8"/>
  <c r="BF48" i="8"/>
  <c r="BG47" i="8"/>
  <c r="BF47" i="8"/>
  <c r="BG45" i="8"/>
  <c r="BF45" i="8"/>
  <c r="BG44" i="8"/>
  <c r="BF44" i="8"/>
  <c r="BG42" i="8"/>
  <c r="BF42" i="8"/>
  <c r="BG41" i="8"/>
  <c r="BF41" i="8"/>
  <c r="BG40" i="8"/>
  <c r="BF40" i="8"/>
  <c r="BG39" i="8"/>
  <c r="BF39" i="8"/>
  <c r="BG38" i="8"/>
  <c r="BF38" i="8"/>
  <c r="BG37" i="8"/>
  <c r="BF37" i="8"/>
  <c r="BG36" i="8"/>
  <c r="BF36" i="8"/>
  <c r="BG35" i="8"/>
  <c r="BF35" i="8"/>
  <c r="BG34" i="8"/>
  <c r="BF34" i="8"/>
  <c r="BG32" i="8"/>
  <c r="BF32" i="8"/>
  <c r="BG31" i="8"/>
  <c r="BF31" i="8"/>
  <c r="BG30" i="8"/>
  <c r="BF30" i="8"/>
  <c r="BG29" i="8"/>
  <c r="BF29" i="8"/>
  <c r="BG28" i="8"/>
  <c r="BF28" i="8"/>
  <c r="BG27" i="8"/>
  <c r="BF27" i="8"/>
  <c r="BG26" i="8"/>
  <c r="BF26" i="8"/>
  <c r="BG25" i="8"/>
  <c r="BF25" i="8"/>
  <c r="BG24" i="8"/>
  <c r="BF24" i="8"/>
  <c r="BG23" i="8"/>
  <c r="BF23" i="8"/>
  <c r="BG22" i="8"/>
  <c r="BF22" i="8"/>
  <c r="BG21" i="8"/>
  <c r="BF21" i="8"/>
  <c r="BG20" i="8"/>
  <c r="BF20" i="8"/>
  <c r="BG19" i="8"/>
  <c r="BF19" i="8"/>
  <c r="BG18" i="8"/>
  <c r="BF18" i="8"/>
  <c r="BG17" i="8"/>
  <c r="BF17" i="8"/>
  <c r="BG16" i="8"/>
  <c r="BF16" i="8"/>
  <c r="BG15" i="8"/>
  <c r="BF15" i="8"/>
  <c r="BG14" i="8"/>
  <c r="BF14" i="8"/>
  <c r="BG13" i="8"/>
  <c r="BF13" i="8"/>
  <c r="BG12" i="8"/>
  <c r="BF12" i="8"/>
  <c r="BG11" i="8"/>
  <c r="BF11" i="8"/>
  <c r="BG10" i="8"/>
  <c r="BF10" i="8"/>
  <c r="BG9" i="8"/>
  <c r="BF9" i="8"/>
  <c r="BG8" i="8"/>
  <c r="BF8" i="8"/>
  <c r="BG7" i="8"/>
  <c r="BF7" i="8"/>
  <c r="BG6" i="8"/>
  <c r="BF6" i="8"/>
  <c r="BG5" i="8"/>
  <c r="BF5" i="8"/>
  <c r="O57" i="7"/>
  <c r="N57" i="7"/>
  <c r="M57" i="7"/>
  <c r="J57" i="7"/>
  <c r="G57" i="7"/>
  <c r="E57" i="7"/>
  <c r="AJ87" i="7" s="1"/>
  <c r="O56" i="7"/>
  <c r="N56" i="7"/>
  <c r="M56" i="7"/>
  <c r="J56" i="7"/>
  <c r="G56" i="7"/>
  <c r="E56" i="7"/>
  <c r="AJ86" i="7" s="1"/>
  <c r="T95" i="4"/>
  <c r="T81" i="4"/>
  <c r="T73" i="4"/>
  <c r="T72" i="4"/>
  <c r="T71" i="4"/>
  <c r="T70" i="4"/>
  <c r="T69" i="4"/>
  <c r="T68" i="4"/>
  <c r="T67" i="4"/>
  <c r="T66" i="4"/>
  <c r="T65" i="4"/>
  <c r="T37" i="4"/>
  <c r="T36" i="4"/>
  <c r="T35" i="4"/>
  <c r="T34" i="4"/>
  <c r="T33" i="4"/>
  <c r="T32" i="4"/>
  <c r="T31" i="4"/>
  <c r="T30" i="4"/>
  <c r="T29" i="4"/>
  <c r="N334" i="3"/>
  <c r="M334" i="3"/>
  <c r="J334" i="3"/>
  <c r="I334" i="3"/>
  <c r="F334" i="3"/>
  <c r="N331" i="3"/>
  <c r="M331" i="3"/>
  <c r="J331" i="3"/>
  <c r="I331" i="3"/>
  <c r="F331" i="3"/>
  <c r="N535" i="3"/>
  <c r="M535" i="3"/>
  <c r="J535" i="3"/>
  <c r="I535" i="3"/>
  <c r="F535" i="3"/>
  <c r="N534" i="3"/>
  <c r="M534" i="3"/>
  <c r="J534" i="3"/>
  <c r="I534" i="3"/>
  <c r="F534" i="3"/>
  <c r="N532" i="3"/>
  <c r="M532" i="3"/>
  <c r="J532" i="3"/>
  <c r="I532" i="3"/>
  <c r="F532" i="3"/>
  <c r="N531" i="3"/>
  <c r="M531" i="3"/>
  <c r="J531" i="3"/>
  <c r="I531" i="3"/>
  <c r="F531" i="3"/>
  <c r="N530" i="3"/>
  <c r="M530" i="3"/>
  <c r="J530" i="3"/>
  <c r="I530" i="3"/>
  <c r="F530" i="3"/>
  <c r="N333" i="3"/>
  <c r="M333" i="3"/>
  <c r="J333" i="3"/>
  <c r="I333" i="3"/>
  <c r="F333" i="3"/>
  <c r="N332" i="3"/>
  <c r="M332" i="3"/>
  <c r="J332" i="3"/>
  <c r="I332" i="3"/>
  <c r="F332" i="3"/>
  <c r="N330" i="3"/>
  <c r="M330" i="3"/>
  <c r="J330" i="3"/>
  <c r="I330" i="3"/>
  <c r="F330" i="3"/>
  <c r="N329" i="3"/>
  <c r="M329" i="3"/>
  <c r="J329" i="3"/>
  <c r="I329" i="3"/>
  <c r="F329" i="3"/>
  <c r="N328" i="3"/>
  <c r="M328" i="3"/>
  <c r="J328" i="3"/>
  <c r="I328" i="3"/>
  <c r="F328" i="3"/>
  <c r="N131" i="3"/>
  <c r="M131" i="3"/>
  <c r="J131" i="3"/>
  <c r="I131" i="3"/>
  <c r="F131" i="3"/>
  <c r="N130" i="3"/>
  <c r="M130" i="3"/>
  <c r="J130" i="3"/>
  <c r="I130" i="3"/>
  <c r="F130" i="3"/>
  <c r="N129" i="3"/>
  <c r="M129" i="3"/>
  <c r="J129" i="3"/>
  <c r="I129" i="3"/>
  <c r="F129" i="3"/>
  <c r="N128" i="3"/>
  <c r="M128" i="3"/>
  <c r="J128" i="3"/>
  <c r="I128" i="3"/>
  <c r="F128" i="3"/>
  <c r="N127" i="3"/>
  <c r="M127" i="3"/>
  <c r="J127" i="3"/>
  <c r="I127" i="3"/>
  <c r="F127" i="3"/>
  <c r="N126" i="3"/>
  <c r="M126" i="3"/>
  <c r="J126" i="3"/>
  <c r="I126" i="3"/>
  <c r="F126" i="3"/>
  <c r="N125" i="3"/>
  <c r="M125" i="3"/>
  <c r="J125" i="3"/>
  <c r="I125" i="3"/>
  <c r="F125" i="3"/>
  <c r="T36" i="2"/>
  <c r="T34" i="2" s="1"/>
  <c r="T35" i="2"/>
  <c r="T33" i="2" s="1"/>
  <c r="T18" i="2"/>
  <c r="T20" i="2" s="1"/>
  <c r="T15" i="2"/>
  <c r="T17" i="2" s="1"/>
  <c r="T30" i="2" l="1"/>
  <c r="T75" i="4"/>
  <c r="T91" i="4"/>
  <c r="T99" i="4"/>
  <c r="T94" i="4"/>
  <c r="T31" i="2"/>
  <c r="T97" i="4"/>
  <c r="T90" i="4"/>
  <c r="T19" i="2"/>
  <c r="T84" i="4"/>
  <c r="T77" i="4"/>
  <c r="T85" i="4"/>
  <c r="T80" i="4"/>
  <c r="T83" i="4"/>
  <c r="T39" i="4"/>
  <c r="T78" i="4"/>
  <c r="T82" i="4"/>
  <c r="T87" i="4"/>
  <c r="T92" i="4"/>
  <c r="T96" i="4"/>
  <c r="T79" i="4"/>
  <c r="T89" i="4"/>
  <c r="T93" i="4"/>
  <c r="T16" i="2"/>
  <c r="AR247" i="8"/>
  <c r="AS247" i="8"/>
  <c r="AZ248" i="8" l="1"/>
  <c r="AY248" i="8"/>
  <c r="AZ247" i="8"/>
  <c r="AY247" i="8"/>
  <c r="AZ246" i="8"/>
  <c r="AY246" i="8"/>
  <c r="AZ245" i="8"/>
  <c r="AY245" i="8"/>
  <c r="AZ244" i="8"/>
  <c r="AY244" i="8"/>
  <c r="AZ243" i="8"/>
  <c r="AY243" i="8"/>
  <c r="AZ241" i="8"/>
  <c r="AY241" i="8"/>
  <c r="AZ239" i="8"/>
  <c r="AY239" i="8"/>
  <c r="AZ237" i="8"/>
  <c r="AY237" i="8"/>
  <c r="AZ236" i="8"/>
  <c r="AY236" i="8"/>
  <c r="AZ235" i="8"/>
  <c r="AY235" i="8"/>
  <c r="AZ234" i="8"/>
  <c r="AY234" i="8"/>
  <c r="AZ232" i="8"/>
  <c r="AY232" i="8"/>
  <c r="AZ231" i="8"/>
  <c r="AY231" i="8"/>
  <c r="AZ230" i="8"/>
  <c r="AY230" i="8"/>
  <c r="AZ229" i="8"/>
  <c r="AY229" i="8"/>
  <c r="AZ228" i="8"/>
  <c r="AY228" i="8"/>
  <c r="AZ226" i="8"/>
  <c r="AY226" i="8"/>
  <c r="AZ225" i="8"/>
  <c r="AY225" i="8"/>
  <c r="AZ224" i="8"/>
  <c r="AY224" i="8"/>
  <c r="AZ221" i="8"/>
  <c r="AY221" i="8"/>
  <c r="AZ220" i="8"/>
  <c r="AY220" i="8"/>
  <c r="AZ219" i="8"/>
  <c r="AY219" i="8"/>
  <c r="AZ218" i="8"/>
  <c r="AY218" i="8"/>
  <c r="AZ217" i="8"/>
  <c r="AY217" i="8"/>
  <c r="AZ216" i="8"/>
  <c r="AY216" i="8"/>
  <c r="AZ215" i="8"/>
  <c r="AY215" i="8"/>
  <c r="AZ213" i="8"/>
  <c r="AY213" i="8"/>
  <c r="AZ212" i="8"/>
  <c r="AY212" i="8"/>
  <c r="AZ209" i="8"/>
  <c r="AY209" i="8"/>
  <c r="AZ208" i="8"/>
  <c r="AY208" i="8"/>
  <c r="AZ207" i="8"/>
  <c r="AY207" i="8"/>
  <c r="AZ205" i="8"/>
  <c r="AY205" i="8"/>
  <c r="AZ202" i="8"/>
  <c r="AY202" i="8"/>
  <c r="AZ199" i="8"/>
  <c r="AY199" i="8"/>
  <c r="AZ198" i="8"/>
  <c r="AY198" i="8"/>
  <c r="AZ197" i="8"/>
  <c r="AY197" i="8"/>
  <c r="AZ196" i="8"/>
  <c r="AY196" i="8"/>
  <c r="AZ195" i="8"/>
  <c r="AY195" i="8"/>
  <c r="AZ194" i="8"/>
  <c r="AY194" i="8"/>
  <c r="AZ193" i="8"/>
  <c r="AY193" i="8"/>
  <c r="AZ192" i="8"/>
  <c r="AY192" i="8"/>
  <c r="AZ191" i="8"/>
  <c r="AY191" i="8"/>
  <c r="AZ190" i="8"/>
  <c r="AY190" i="8"/>
  <c r="AZ189" i="8"/>
  <c r="AY189" i="8"/>
  <c r="AZ188" i="8"/>
  <c r="AY188" i="8"/>
  <c r="AZ187" i="8"/>
  <c r="AY187" i="8"/>
  <c r="AZ186" i="8"/>
  <c r="AY186" i="8"/>
  <c r="AZ185" i="8"/>
  <c r="AY185" i="8"/>
  <c r="AZ184" i="8"/>
  <c r="AY184" i="8"/>
  <c r="AZ183" i="8"/>
  <c r="AY183" i="8"/>
  <c r="AZ182" i="8"/>
  <c r="AY182" i="8"/>
  <c r="AZ181" i="8"/>
  <c r="AY181" i="8"/>
  <c r="AZ180" i="8"/>
  <c r="AY180" i="8"/>
  <c r="AZ179" i="8"/>
  <c r="AY179" i="8"/>
  <c r="AZ178" i="8"/>
  <c r="AY178" i="8"/>
  <c r="AZ177" i="8"/>
  <c r="AY177" i="8"/>
  <c r="AZ176" i="8"/>
  <c r="AY176" i="8"/>
  <c r="AZ173" i="8"/>
  <c r="AY173" i="8"/>
  <c r="AZ172" i="8"/>
  <c r="AY172" i="8"/>
  <c r="AZ171" i="8"/>
  <c r="AY171" i="8"/>
  <c r="AZ170" i="8"/>
  <c r="AY170" i="8"/>
  <c r="AZ169" i="8"/>
  <c r="AY169" i="8"/>
  <c r="AZ168" i="8"/>
  <c r="AY168" i="8"/>
  <c r="AZ167" i="8"/>
  <c r="AY167" i="8"/>
  <c r="AZ166" i="8"/>
  <c r="AY166" i="8"/>
  <c r="AZ165" i="8"/>
  <c r="AY165" i="8"/>
  <c r="AZ164" i="8"/>
  <c r="AY164" i="8"/>
  <c r="AZ163" i="8"/>
  <c r="AY163" i="8"/>
  <c r="AZ162" i="8"/>
  <c r="AY162" i="8"/>
  <c r="AZ161" i="8"/>
  <c r="AY161" i="8"/>
  <c r="AZ159" i="8"/>
  <c r="AY159" i="8"/>
  <c r="AZ158" i="8"/>
  <c r="AY158" i="8"/>
  <c r="AZ157" i="8"/>
  <c r="AY157" i="8"/>
  <c r="AZ156" i="8"/>
  <c r="AY156" i="8"/>
  <c r="AZ155" i="8"/>
  <c r="AY155" i="8"/>
  <c r="AZ154" i="8"/>
  <c r="AY154" i="8"/>
  <c r="AZ153" i="8"/>
  <c r="AY153" i="8"/>
  <c r="AZ152" i="8"/>
  <c r="AY152" i="8"/>
  <c r="AZ151" i="8"/>
  <c r="AY151" i="8"/>
  <c r="AZ150" i="8"/>
  <c r="AY150" i="8"/>
  <c r="AZ149" i="8"/>
  <c r="AY149" i="8"/>
  <c r="AZ148" i="8"/>
  <c r="AY148" i="8"/>
  <c r="AZ147" i="8"/>
  <c r="AY147" i="8"/>
  <c r="AZ146" i="8"/>
  <c r="AY146" i="8"/>
  <c r="AZ145" i="8"/>
  <c r="AY145" i="8"/>
  <c r="AZ144" i="8"/>
  <c r="AY144" i="8"/>
  <c r="AZ140" i="8"/>
  <c r="AY140" i="8"/>
  <c r="AZ139" i="8"/>
  <c r="AY139" i="8"/>
  <c r="AZ138" i="8"/>
  <c r="AY138" i="8"/>
  <c r="AZ137" i="8"/>
  <c r="AY137" i="8"/>
  <c r="AZ136" i="8"/>
  <c r="AY136" i="8"/>
  <c r="AZ135" i="8"/>
  <c r="AY135" i="8"/>
  <c r="AZ134" i="8"/>
  <c r="AY134" i="8"/>
  <c r="AZ133" i="8"/>
  <c r="AY133" i="8"/>
  <c r="AZ132" i="8"/>
  <c r="AY132" i="8"/>
  <c r="AZ130" i="8"/>
  <c r="AY130" i="8"/>
  <c r="AZ129" i="8"/>
  <c r="AY129" i="8"/>
  <c r="AZ128" i="8"/>
  <c r="AY128" i="8"/>
  <c r="AZ127" i="8"/>
  <c r="AY127" i="8"/>
  <c r="AZ126" i="8"/>
  <c r="AY126" i="8"/>
  <c r="AZ125" i="8"/>
  <c r="AY125" i="8"/>
  <c r="AZ124" i="8"/>
  <c r="AY124" i="8"/>
  <c r="AZ123" i="8"/>
  <c r="AY123" i="8"/>
  <c r="AZ122" i="8"/>
  <c r="AY122" i="8"/>
  <c r="AZ120" i="8"/>
  <c r="AY120" i="8"/>
  <c r="AZ119" i="8"/>
  <c r="AY119" i="8"/>
  <c r="AZ118" i="8"/>
  <c r="AY118" i="8"/>
  <c r="AZ117" i="8"/>
  <c r="AY117" i="8"/>
  <c r="AZ116" i="8"/>
  <c r="AY116" i="8"/>
  <c r="AZ115" i="8"/>
  <c r="AY115" i="8"/>
  <c r="AZ114" i="8"/>
  <c r="AY114" i="8"/>
  <c r="AZ112" i="8"/>
  <c r="AY112" i="8"/>
  <c r="AZ111" i="8"/>
  <c r="AY111" i="8"/>
  <c r="AZ110" i="8"/>
  <c r="AY110" i="8"/>
  <c r="AZ109" i="8"/>
  <c r="AY109" i="8"/>
  <c r="AZ108" i="8"/>
  <c r="AY108" i="8"/>
  <c r="AZ107" i="8"/>
  <c r="AY107" i="8"/>
  <c r="AZ106" i="8"/>
  <c r="AY106" i="8"/>
  <c r="AZ105" i="8"/>
  <c r="AY105" i="8"/>
  <c r="AZ104" i="8"/>
  <c r="AY104" i="8"/>
  <c r="AZ103" i="8"/>
  <c r="AY103" i="8"/>
  <c r="AZ101" i="8"/>
  <c r="AY101" i="8"/>
  <c r="AZ100" i="8"/>
  <c r="AY100" i="8"/>
  <c r="AZ99" i="8"/>
  <c r="AY99" i="8"/>
  <c r="AZ98" i="8"/>
  <c r="AY98" i="8"/>
  <c r="AZ97" i="8"/>
  <c r="AY97" i="8"/>
  <c r="AZ96" i="8"/>
  <c r="AY96" i="8"/>
  <c r="AZ95" i="8"/>
  <c r="AY95" i="8"/>
  <c r="AZ94" i="8"/>
  <c r="AY94" i="8"/>
  <c r="AZ93" i="8"/>
  <c r="AY93" i="8"/>
  <c r="AZ92" i="8"/>
  <c r="AY92" i="8"/>
  <c r="AZ91" i="8"/>
  <c r="AY91" i="8"/>
  <c r="AZ90" i="8"/>
  <c r="AY90" i="8"/>
  <c r="AZ89" i="8"/>
  <c r="AY89" i="8"/>
  <c r="AZ88" i="8"/>
  <c r="AY88" i="8"/>
  <c r="AZ87" i="8"/>
  <c r="AY87" i="8"/>
  <c r="AZ86" i="8"/>
  <c r="AY86" i="8"/>
  <c r="AZ85" i="8"/>
  <c r="AY85" i="8"/>
  <c r="AZ84" i="8"/>
  <c r="AY84" i="8"/>
  <c r="AZ83" i="8"/>
  <c r="AY83" i="8"/>
  <c r="AZ82" i="8"/>
  <c r="AY82" i="8"/>
  <c r="AZ81" i="8"/>
  <c r="AY81" i="8"/>
  <c r="AZ80" i="8"/>
  <c r="AY80" i="8"/>
  <c r="AZ79" i="8"/>
  <c r="AY79" i="8"/>
  <c r="AZ78" i="8"/>
  <c r="AY78" i="8"/>
  <c r="AZ77" i="8"/>
  <c r="AY77" i="8"/>
  <c r="AZ76" i="8"/>
  <c r="AY76" i="8"/>
  <c r="AZ74" i="8"/>
  <c r="AY74" i="8"/>
  <c r="AZ73" i="8"/>
  <c r="AY73" i="8"/>
  <c r="AZ72" i="8"/>
  <c r="AY72" i="8"/>
  <c r="AZ71" i="8"/>
  <c r="AY71" i="8"/>
  <c r="AZ70" i="8"/>
  <c r="AY70" i="8"/>
  <c r="AZ69" i="8"/>
  <c r="AY69" i="8"/>
  <c r="AZ68" i="8"/>
  <c r="AY68" i="8"/>
  <c r="AZ67" i="8"/>
  <c r="AY67" i="8"/>
  <c r="AZ66" i="8"/>
  <c r="AY66" i="8"/>
  <c r="AZ65" i="8"/>
  <c r="AY65" i="8"/>
  <c r="AZ64" i="8"/>
  <c r="AY64" i="8"/>
  <c r="AZ63" i="8"/>
  <c r="AY63" i="8"/>
  <c r="AZ62" i="8"/>
  <c r="AY62" i="8"/>
  <c r="AZ61" i="8"/>
  <c r="AY61" i="8"/>
  <c r="AZ60" i="8"/>
  <c r="AY60" i="8"/>
  <c r="AZ59" i="8"/>
  <c r="AY59" i="8"/>
  <c r="AZ58" i="8"/>
  <c r="AY58" i="8"/>
  <c r="AZ57" i="8"/>
  <c r="AY57" i="8"/>
  <c r="AZ56" i="8"/>
  <c r="AY56" i="8"/>
  <c r="AZ55" i="8"/>
  <c r="AY55" i="8"/>
  <c r="AZ54" i="8"/>
  <c r="AY54" i="8"/>
  <c r="AZ53" i="8"/>
  <c r="AY53" i="8"/>
  <c r="AZ52" i="8"/>
  <c r="AY52" i="8"/>
  <c r="AZ51" i="8"/>
  <c r="AY51" i="8"/>
  <c r="AZ50" i="8"/>
  <c r="AY50" i="8"/>
  <c r="AZ49" i="8"/>
  <c r="AY49" i="8"/>
  <c r="AZ48" i="8"/>
  <c r="AY48" i="8"/>
  <c r="AZ47" i="8"/>
  <c r="AY47" i="8"/>
  <c r="AZ45" i="8"/>
  <c r="AY45" i="8"/>
  <c r="AZ44" i="8"/>
  <c r="AY44" i="8"/>
  <c r="AZ42" i="8"/>
  <c r="AY42" i="8"/>
  <c r="AZ41" i="8"/>
  <c r="AY41" i="8"/>
  <c r="AZ40" i="8"/>
  <c r="AY40" i="8"/>
  <c r="AZ39" i="8"/>
  <c r="AY39" i="8"/>
  <c r="AZ38" i="8"/>
  <c r="AY38" i="8"/>
  <c r="AZ37" i="8"/>
  <c r="AY37" i="8"/>
  <c r="AZ36" i="8"/>
  <c r="AY36" i="8"/>
  <c r="AZ35" i="8"/>
  <c r="AY35" i="8"/>
  <c r="AZ34" i="8"/>
  <c r="AY34" i="8"/>
  <c r="AZ32" i="8"/>
  <c r="AY32" i="8"/>
  <c r="AZ31" i="8"/>
  <c r="AY31" i="8"/>
  <c r="AZ30" i="8"/>
  <c r="AY30" i="8"/>
  <c r="AZ29" i="8"/>
  <c r="AY29" i="8"/>
  <c r="AZ28" i="8"/>
  <c r="AY28" i="8"/>
  <c r="AZ27" i="8"/>
  <c r="AY27" i="8"/>
  <c r="AZ26" i="8"/>
  <c r="AY26" i="8"/>
  <c r="AZ25" i="8"/>
  <c r="AY25" i="8"/>
  <c r="AZ24" i="8"/>
  <c r="AY24" i="8"/>
  <c r="AZ23" i="8"/>
  <c r="AY23" i="8"/>
  <c r="AZ22" i="8"/>
  <c r="AY22" i="8"/>
  <c r="AZ21" i="8"/>
  <c r="AY21" i="8"/>
  <c r="AZ20" i="8"/>
  <c r="AY20" i="8"/>
  <c r="AZ19" i="8"/>
  <c r="AY19" i="8"/>
  <c r="AZ18" i="8"/>
  <c r="AY18" i="8"/>
  <c r="AZ17" i="8"/>
  <c r="AY17" i="8"/>
  <c r="AZ16" i="8"/>
  <c r="AY16" i="8"/>
  <c r="AZ15" i="8"/>
  <c r="AY15" i="8"/>
  <c r="AZ14" i="8"/>
  <c r="AY14" i="8"/>
  <c r="AZ13" i="8"/>
  <c r="AY13" i="8"/>
  <c r="AZ12" i="8"/>
  <c r="AY12" i="8"/>
  <c r="AZ11" i="8"/>
  <c r="AY11" i="8"/>
  <c r="AZ10" i="8"/>
  <c r="AY10" i="8"/>
  <c r="AZ9" i="8"/>
  <c r="AY9" i="8"/>
  <c r="AZ8" i="8"/>
  <c r="AY8" i="8"/>
  <c r="AZ7" i="8"/>
  <c r="AY7" i="8"/>
  <c r="AZ6" i="8"/>
  <c r="AY6" i="8"/>
  <c r="AZ5" i="8"/>
  <c r="AY5" i="8"/>
  <c r="E54" i="7"/>
  <c r="AI87" i="7" s="1"/>
  <c r="E53" i="7"/>
  <c r="AI86" i="7" s="1"/>
  <c r="O54" i="7"/>
  <c r="N54" i="7"/>
  <c r="M54" i="7"/>
  <c r="J54" i="7"/>
  <c r="G54" i="7"/>
  <c r="O53" i="7"/>
  <c r="N53" i="7"/>
  <c r="M53" i="7"/>
  <c r="J53" i="7"/>
  <c r="G53" i="7"/>
  <c r="R17" i="6"/>
  <c r="R16" i="6"/>
  <c r="R15" i="6"/>
  <c r="R14" i="6"/>
  <c r="R13" i="6"/>
  <c r="R12" i="6"/>
  <c r="R11" i="6"/>
  <c r="R10" i="6"/>
  <c r="AM37" i="6" s="1"/>
  <c r="R9" i="6"/>
  <c r="AM36" i="6" s="1"/>
  <c r="R8" i="6"/>
  <c r="AM35" i="6" s="1"/>
  <c r="R7" i="6"/>
  <c r="AM34" i="6" s="1"/>
  <c r="R6" i="6"/>
  <c r="AM33" i="6" s="1"/>
  <c r="R5" i="6"/>
  <c r="AM32" i="6" s="1"/>
  <c r="R4" i="6"/>
  <c r="AM31" i="6" s="1"/>
  <c r="R63" i="4"/>
  <c r="R51" i="4"/>
  <c r="R27" i="4"/>
  <c r="R15" i="4"/>
  <c r="R73" i="4"/>
  <c r="R72" i="4"/>
  <c r="R71" i="4"/>
  <c r="R70" i="4"/>
  <c r="R69" i="4"/>
  <c r="R68" i="4"/>
  <c r="R67" i="4"/>
  <c r="R66" i="4"/>
  <c r="R65" i="4"/>
  <c r="R37" i="4"/>
  <c r="R36" i="4"/>
  <c r="R35" i="4"/>
  <c r="R34" i="4"/>
  <c r="R33" i="4"/>
  <c r="R32" i="4"/>
  <c r="R31" i="4"/>
  <c r="R30" i="4"/>
  <c r="R29" i="4"/>
  <c r="P115" i="2"/>
  <c r="N527" i="3"/>
  <c r="M527" i="3"/>
  <c r="J527" i="3"/>
  <c r="I527" i="3"/>
  <c r="F527" i="3"/>
  <c r="N526" i="3"/>
  <c r="M526" i="3"/>
  <c r="J526" i="3"/>
  <c r="I526" i="3"/>
  <c r="F526" i="3"/>
  <c r="N524" i="3"/>
  <c r="M524" i="3"/>
  <c r="J524" i="3"/>
  <c r="I524" i="3"/>
  <c r="F524" i="3"/>
  <c r="N523" i="3"/>
  <c r="M523" i="3"/>
  <c r="J523" i="3"/>
  <c r="I523" i="3"/>
  <c r="F523" i="3"/>
  <c r="N522" i="3"/>
  <c r="M522" i="3"/>
  <c r="J522" i="3"/>
  <c r="I522" i="3"/>
  <c r="F522" i="3"/>
  <c r="N326" i="3"/>
  <c r="M326" i="3"/>
  <c r="J326" i="3"/>
  <c r="I326" i="3"/>
  <c r="F326" i="3"/>
  <c r="N325" i="3"/>
  <c r="M325" i="3"/>
  <c r="J325" i="3"/>
  <c r="I325" i="3"/>
  <c r="F325" i="3"/>
  <c r="N324" i="3"/>
  <c r="M324" i="3"/>
  <c r="J324" i="3"/>
  <c r="I324" i="3"/>
  <c r="F324" i="3"/>
  <c r="N323" i="3"/>
  <c r="M323" i="3"/>
  <c r="J323" i="3"/>
  <c r="I323" i="3"/>
  <c r="F323" i="3"/>
  <c r="N322" i="3"/>
  <c r="M322" i="3"/>
  <c r="J322" i="3"/>
  <c r="I322" i="3"/>
  <c r="F322" i="3"/>
  <c r="N321" i="3"/>
  <c r="M321" i="3"/>
  <c r="J321" i="3"/>
  <c r="I321" i="3"/>
  <c r="F321" i="3"/>
  <c r="N320" i="3"/>
  <c r="M320" i="3"/>
  <c r="J320" i="3"/>
  <c r="I320" i="3"/>
  <c r="F320" i="3"/>
  <c r="F118" i="3"/>
  <c r="F119" i="3"/>
  <c r="F120" i="3"/>
  <c r="F121" i="3"/>
  <c r="F122" i="3"/>
  <c r="F123" i="3"/>
  <c r="N123" i="3"/>
  <c r="M123" i="3"/>
  <c r="J123" i="3"/>
  <c r="I123" i="3"/>
  <c r="N122" i="3"/>
  <c r="M122" i="3"/>
  <c r="J122" i="3"/>
  <c r="I122" i="3"/>
  <c r="N121" i="3"/>
  <c r="M121" i="3"/>
  <c r="J121" i="3"/>
  <c r="I121" i="3"/>
  <c r="N120" i="3"/>
  <c r="M120" i="3"/>
  <c r="J120" i="3"/>
  <c r="I120" i="3"/>
  <c r="N119" i="3"/>
  <c r="M119" i="3"/>
  <c r="J119" i="3"/>
  <c r="I119" i="3"/>
  <c r="N118" i="3"/>
  <c r="M118" i="3"/>
  <c r="J118" i="3"/>
  <c r="I118" i="3"/>
  <c r="N117" i="3"/>
  <c r="M117" i="3"/>
  <c r="J117" i="3"/>
  <c r="I117" i="3"/>
  <c r="F117" i="3"/>
  <c r="R36" i="2"/>
  <c r="R34" i="2" s="1"/>
  <c r="R35" i="2"/>
  <c r="R33" i="2" s="1"/>
  <c r="R18" i="2"/>
  <c r="R19" i="2" s="1"/>
  <c r="R15" i="2"/>
  <c r="R17" i="2" s="1"/>
  <c r="R20" i="2" l="1"/>
  <c r="R78" i="4"/>
  <c r="R82" i="4"/>
  <c r="R87" i="4"/>
  <c r="R81" i="4"/>
  <c r="R79" i="4"/>
  <c r="R83" i="4"/>
  <c r="R80" i="4"/>
  <c r="R84" i="4"/>
  <c r="R77" i="4"/>
  <c r="R85" i="4"/>
  <c r="R91" i="4"/>
  <c r="R95" i="4"/>
  <c r="R89" i="4"/>
  <c r="R93" i="4"/>
  <c r="R94" i="4"/>
  <c r="R99" i="4"/>
  <c r="R92" i="4"/>
  <c r="R96" i="4"/>
  <c r="R97" i="4"/>
  <c r="R90" i="4"/>
  <c r="AM38" i="6"/>
  <c r="R30" i="2"/>
  <c r="R31" i="2"/>
  <c r="R75" i="4"/>
  <c r="R39" i="4"/>
  <c r="L115" i="2"/>
  <c r="D115" i="2"/>
  <c r="H115" i="2"/>
  <c r="E115" i="2"/>
  <c r="I115" i="2"/>
  <c r="M115" i="2"/>
  <c r="B115" i="2"/>
  <c r="F115" i="2"/>
  <c r="J115" i="2"/>
  <c r="N115" i="2"/>
  <c r="C115" i="2"/>
  <c r="G115" i="2"/>
  <c r="K115" i="2"/>
  <c r="O115" i="2"/>
  <c r="R16" i="2"/>
  <c r="AS246" i="8"/>
  <c r="AR246" i="8"/>
  <c r="AS245" i="8"/>
  <c r="AR245" i="8"/>
  <c r="AS244" i="8"/>
  <c r="AR244" i="8"/>
  <c r="AS243" i="8"/>
  <c r="AR243" i="8"/>
  <c r="AS241" i="8"/>
  <c r="AR241" i="8"/>
  <c r="AS239" i="8"/>
  <c r="AR239" i="8"/>
  <c r="AS237" i="8"/>
  <c r="AR237" i="8"/>
  <c r="AS236" i="8"/>
  <c r="AR236" i="8"/>
  <c r="AS235" i="8"/>
  <c r="AR235" i="8"/>
  <c r="AS234" i="8"/>
  <c r="AR234" i="8"/>
  <c r="AS233" i="8"/>
  <c r="AR233" i="8"/>
  <c r="AS232" i="8"/>
  <c r="AR232" i="8"/>
  <c r="AS231" i="8"/>
  <c r="AR231" i="8"/>
  <c r="AS230" i="8"/>
  <c r="AR230" i="8"/>
  <c r="AS229" i="8"/>
  <c r="AR229" i="8"/>
  <c r="AS228" i="8"/>
  <c r="AR228" i="8"/>
  <c r="AS226" i="8"/>
  <c r="AR226" i="8"/>
  <c r="AS225" i="8"/>
  <c r="AR225" i="8"/>
  <c r="AS224" i="8"/>
  <c r="AR224" i="8"/>
  <c r="AS221" i="8"/>
  <c r="AR221" i="8"/>
  <c r="AS220" i="8"/>
  <c r="AR220" i="8"/>
  <c r="AS219" i="8"/>
  <c r="AR219" i="8"/>
  <c r="AS218" i="8"/>
  <c r="AR218" i="8"/>
  <c r="AS217" i="8"/>
  <c r="AR217" i="8"/>
  <c r="AS216" i="8"/>
  <c r="AR216" i="8"/>
  <c r="AS215" i="8"/>
  <c r="AR215" i="8"/>
  <c r="AS213" i="8"/>
  <c r="AR213" i="8"/>
  <c r="AS212" i="8"/>
  <c r="AR212" i="8"/>
  <c r="AS209" i="8"/>
  <c r="AR209" i="8"/>
  <c r="AS208" i="8"/>
  <c r="AR208" i="8"/>
  <c r="AS207" i="8"/>
  <c r="AR207" i="8"/>
  <c r="AS205" i="8"/>
  <c r="AR205" i="8"/>
  <c r="AS202" i="8"/>
  <c r="AR202" i="8"/>
  <c r="AS201" i="8"/>
  <c r="AR201" i="8"/>
  <c r="AS199" i="8"/>
  <c r="AR199" i="8"/>
  <c r="AS198" i="8"/>
  <c r="AR198" i="8"/>
  <c r="AS197" i="8"/>
  <c r="AR197" i="8"/>
  <c r="AS196" i="8"/>
  <c r="AR196" i="8"/>
  <c r="AS195" i="8"/>
  <c r="AR195" i="8"/>
  <c r="AS194" i="8"/>
  <c r="AR194" i="8"/>
  <c r="AS193" i="8"/>
  <c r="AR193" i="8"/>
  <c r="AS192" i="8"/>
  <c r="AR192" i="8"/>
  <c r="AS191" i="8"/>
  <c r="AR191" i="8"/>
  <c r="AS190" i="8"/>
  <c r="AR190" i="8"/>
  <c r="AS189" i="8"/>
  <c r="AR189" i="8"/>
  <c r="AS188" i="8"/>
  <c r="AR188" i="8"/>
  <c r="AS187" i="8"/>
  <c r="AR187" i="8"/>
  <c r="AS186" i="8"/>
  <c r="AR186" i="8"/>
  <c r="AS185" i="8"/>
  <c r="AR185" i="8"/>
  <c r="AS184" i="8"/>
  <c r="AR184" i="8"/>
  <c r="AS183" i="8"/>
  <c r="AR183" i="8"/>
  <c r="AS182" i="8"/>
  <c r="AR182" i="8"/>
  <c r="AS181" i="8"/>
  <c r="AR181" i="8"/>
  <c r="AS180" i="8"/>
  <c r="AR180" i="8"/>
  <c r="AS179" i="8"/>
  <c r="AR179" i="8"/>
  <c r="AS178" i="8"/>
  <c r="AR178" i="8"/>
  <c r="AS177" i="8"/>
  <c r="AR177" i="8"/>
  <c r="AS176" i="8"/>
  <c r="AR176" i="8"/>
  <c r="AS173" i="8"/>
  <c r="AR173" i="8"/>
  <c r="AS172" i="8"/>
  <c r="AR172" i="8"/>
  <c r="AS171" i="8"/>
  <c r="AR171" i="8"/>
  <c r="AS170" i="8"/>
  <c r="AR170" i="8"/>
  <c r="AS169" i="8"/>
  <c r="AR169" i="8"/>
  <c r="AS168" i="8"/>
  <c r="AR168" i="8"/>
  <c r="AS167" i="8"/>
  <c r="AR167" i="8"/>
  <c r="AS166" i="8"/>
  <c r="AR166" i="8"/>
  <c r="AS165" i="8"/>
  <c r="AR165" i="8"/>
  <c r="AS164" i="8"/>
  <c r="AR164" i="8"/>
  <c r="AS163" i="8"/>
  <c r="AR163" i="8"/>
  <c r="AS162" i="8"/>
  <c r="AR162" i="8"/>
  <c r="AS161" i="8"/>
  <c r="AR161" i="8"/>
  <c r="AS159" i="8"/>
  <c r="AR159" i="8"/>
  <c r="AS158" i="8"/>
  <c r="AR158" i="8"/>
  <c r="AS157" i="8"/>
  <c r="AR157" i="8"/>
  <c r="AS156" i="8"/>
  <c r="AR156" i="8"/>
  <c r="AS155" i="8"/>
  <c r="AR155" i="8"/>
  <c r="AS154" i="8"/>
  <c r="AR154" i="8"/>
  <c r="AS153" i="8"/>
  <c r="AR153" i="8"/>
  <c r="AS152" i="8"/>
  <c r="AR152" i="8"/>
  <c r="AS151" i="8"/>
  <c r="AR151" i="8"/>
  <c r="AS150" i="8"/>
  <c r="AR150" i="8"/>
  <c r="AS149" i="8"/>
  <c r="AR149" i="8"/>
  <c r="AS148" i="8"/>
  <c r="AR148" i="8"/>
  <c r="AS147" i="8"/>
  <c r="AR147" i="8"/>
  <c r="AS146" i="8"/>
  <c r="AR146" i="8"/>
  <c r="AS145" i="8"/>
  <c r="AR145" i="8"/>
  <c r="AS144" i="8"/>
  <c r="AR144" i="8"/>
  <c r="AS140" i="8"/>
  <c r="AR140" i="8"/>
  <c r="AS139" i="8"/>
  <c r="AR139" i="8"/>
  <c r="AS138" i="8"/>
  <c r="AR138" i="8"/>
  <c r="AS137" i="8"/>
  <c r="AR137" i="8"/>
  <c r="AS136" i="8"/>
  <c r="AR136" i="8"/>
  <c r="AS135" i="8"/>
  <c r="AR135" i="8"/>
  <c r="AS134" i="8"/>
  <c r="AR134" i="8"/>
  <c r="AS133" i="8"/>
  <c r="AR133" i="8"/>
  <c r="AS132" i="8"/>
  <c r="AR132" i="8"/>
  <c r="AS130" i="8"/>
  <c r="AR130" i="8"/>
  <c r="AS129" i="8"/>
  <c r="AR129" i="8"/>
  <c r="AS128" i="8"/>
  <c r="AR128" i="8"/>
  <c r="AS127" i="8"/>
  <c r="AR127" i="8"/>
  <c r="AS126" i="8"/>
  <c r="AR126" i="8"/>
  <c r="AS125" i="8"/>
  <c r="AR125" i="8"/>
  <c r="AS124" i="8"/>
  <c r="AR124" i="8"/>
  <c r="AS123" i="8"/>
  <c r="AR123" i="8"/>
  <c r="AS122" i="8"/>
  <c r="AR122" i="8"/>
  <c r="AS120" i="8"/>
  <c r="AR120" i="8"/>
  <c r="AS119" i="8"/>
  <c r="AR119" i="8"/>
  <c r="AS118" i="8"/>
  <c r="AR118" i="8"/>
  <c r="AS117" i="8"/>
  <c r="AR117" i="8"/>
  <c r="AS116" i="8"/>
  <c r="AR116" i="8"/>
  <c r="AS115" i="8"/>
  <c r="AR115" i="8"/>
  <c r="AS114" i="8"/>
  <c r="AR114" i="8"/>
  <c r="AS112" i="8"/>
  <c r="AR112" i="8"/>
  <c r="AS111" i="8"/>
  <c r="AR111" i="8"/>
  <c r="AS110" i="8"/>
  <c r="AR110" i="8"/>
  <c r="AS109" i="8"/>
  <c r="AR109" i="8"/>
  <c r="AS108" i="8"/>
  <c r="AR108" i="8"/>
  <c r="AS107" i="8"/>
  <c r="AR107" i="8"/>
  <c r="AS106" i="8"/>
  <c r="AR106" i="8"/>
  <c r="AS105" i="8"/>
  <c r="AR105" i="8"/>
  <c r="AS104" i="8"/>
  <c r="AR104" i="8"/>
  <c r="AS103" i="8"/>
  <c r="AR103" i="8"/>
  <c r="AS101" i="8"/>
  <c r="AR101" i="8"/>
  <c r="AS100" i="8"/>
  <c r="AR100" i="8"/>
  <c r="AS99" i="8"/>
  <c r="AR99" i="8"/>
  <c r="AS98" i="8"/>
  <c r="AR98" i="8"/>
  <c r="AS97" i="8"/>
  <c r="AR97" i="8"/>
  <c r="AS96" i="8"/>
  <c r="AR96" i="8"/>
  <c r="AS95" i="8"/>
  <c r="AR95" i="8"/>
  <c r="AS94" i="8"/>
  <c r="AR94" i="8"/>
  <c r="AS93" i="8"/>
  <c r="AR93" i="8"/>
  <c r="AS92" i="8"/>
  <c r="AR92" i="8"/>
  <c r="AS91" i="8"/>
  <c r="AR91" i="8"/>
  <c r="AS90" i="8"/>
  <c r="AR90" i="8"/>
  <c r="AS89" i="8"/>
  <c r="AR89" i="8"/>
  <c r="AS88" i="8"/>
  <c r="AR88" i="8"/>
  <c r="AS87" i="8"/>
  <c r="AR87" i="8"/>
  <c r="AS86" i="8"/>
  <c r="AR86" i="8"/>
  <c r="AS85" i="8"/>
  <c r="AR85" i="8"/>
  <c r="AS84" i="8"/>
  <c r="AR84" i="8"/>
  <c r="AS83" i="8"/>
  <c r="AR83" i="8"/>
  <c r="AS82" i="8"/>
  <c r="AR82" i="8"/>
  <c r="AS81" i="8"/>
  <c r="AR81" i="8"/>
  <c r="AS80" i="8"/>
  <c r="AR80" i="8"/>
  <c r="AS79" i="8"/>
  <c r="AR79" i="8"/>
  <c r="AS78" i="8"/>
  <c r="AR78" i="8"/>
  <c r="AS77" i="8"/>
  <c r="AR77" i="8"/>
  <c r="AS76" i="8"/>
  <c r="AR76" i="8"/>
  <c r="AS74" i="8"/>
  <c r="AR74" i="8"/>
  <c r="AS73" i="8"/>
  <c r="AR73" i="8"/>
  <c r="AS72" i="8"/>
  <c r="AR72" i="8"/>
  <c r="AS71" i="8"/>
  <c r="AR71" i="8"/>
  <c r="AS70" i="8"/>
  <c r="AR70" i="8"/>
  <c r="AS69" i="8"/>
  <c r="AR69" i="8"/>
  <c r="AS68" i="8"/>
  <c r="AR68" i="8"/>
  <c r="AS67" i="8"/>
  <c r="AR67" i="8"/>
  <c r="AS66" i="8"/>
  <c r="AR66" i="8"/>
  <c r="AS65" i="8"/>
  <c r="AR65" i="8"/>
  <c r="AS64" i="8"/>
  <c r="AR64" i="8"/>
  <c r="AS63" i="8"/>
  <c r="AR63" i="8"/>
  <c r="AS62" i="8"/>
  <c r="AR62" i="8"/>
  <c r="AS61" i="8"/>
  <c r="AR61" i="8"/>
  <c r="AS60" i="8"/>
  <c r="AR60" i="8"/>
  <c r="AS59" i="8"/>
  <c r="AR59" i="8"/>
  <c r="AS58" i="8"/>
  <c r="AR58" i="8"/>
  <c r="AS57" i="8"/>
  <c r="AR57" i="8"/>
  <c r="AS56" i="8"/>
  <c r="AR56" i="8"/>
  <c r="AS55" i="8"/>
  <c r="AR55" i="8"/>
  <c r="AS54" i="8"/>
  <c r="AR54" i="8"/>
  <c r="AS53" i="8"/>
  <c r="AR53" i="8"/>
  <c r="AS52" i="8"/>
  <c r="AR52" i="8"/>
  <c r="AS51" i="8"/>
  <c r="AR51" i="8"/>
  <c r="AS50" i="8"/>
  <c r="AR50" i="8"/>
  <c r="AS49" i="8"/>
  <c r="AR49" i="8"/>
  <c r="AS48" i="8"/>
  <c r="AR48" i="8"/>
  <c r="AS47" i="8"/>
  <c r="AR47" i="8"/>
  <c r="AS45" i="8"/>
  <c r="AR45" i="8"/>
  <c r="AS44" i="8"/>
  <c r="AR44" i="8"/>
  <c r="AS42" i="8"/>
  <c r="AR42" i="8"/>
  <c r="AS41" i="8"/>
  <c r="AR41" i="8"/>
  <c r="AS40" i="8"/>
  <c r="AR40" i="8"/>
  <c r="AS39" i="8"/>
  <c r="AR39" i="8"/>
  <c r="AS38" i="8"/>
  <c r="AR38" i="8"/>
  <c r="AS37" i="8"/>
  <c r="AR37" i="8"/>
  <c r="AS36" i="8"/>
  <c r="AR36" i="8"/>
  <c r="AS35" i="8"/>
  <c r="AR35" i="8"/>
  <c r="AS34" i="8"/>
  <c r="AR34" i="8"/>
  <c r="AS32" i="8"/>
  <c r="AR32" i="8"/>
  <c r="AS31" i="8"/>
  <c r="AR31" i="8"/>
  <c r="AS30" i="8"/>
  <c r="AR30" i="8"/>
  <c r="AS29" i="8"/>
  <c r="AR29" i="8"/>
  <c r="AS28" i="8"/>
  <c r="AR28" i="8"/>
  <c r="AS27" i="8"/>
  <c r="AR27" i="8"/>
  <c r="AS26" i="8"/>
  <c r="AR26" i="8"/>
  <c r="AS25" i="8"/>
  <c r="AR25" i="8"/>
  <c r="AS24" i="8"/>
  <c r="AR24" i="8"/>
  <c r="AS23" i="8"/>
  <c r="AR23" i="8"/>
  <c r="AS22" i="8"/>
  <c r="AR22" i="8"/>
  <c r="AS21" i="8"/>
  <c r="AR21" i="8"/>
  <c r="AS20" i="8"/>
  <c r="AR20" i="8"/>
  <c r="AS19" i="8"/>
  <c r="AR19" i="8"/>
  <c r="AS18" i="8"/>
  <c r="AR18" i="8"/>
  <c r="AS17" i="8"/>
  <c r="AR17" i="8"/>
  <c r="AS16" i="8"/>
  <c r="AR16" i="8"/>
  <c r="AS15" i="8"/>
  <c r="AR15" i="8"/>
  <c r="AS14" i="8"/>
  <c r="AR14" i="8"/>
  <c r="AS13" i="8"/>
  <c r="AR13" i="8"/>
  <c r="AS12" i="8"/>
  <c r="AR12" i="8"/>
  <c r="AS11" i="8"/>
  <c r="AR11" i="8"/>
  <c r="AS10" i="8"/>
  <c r="AR10" i="8"/>
  <c r="AS9" i="8"/>
  <c r="AR9" i="8"/>
  <c r="AS8" i="8"/>
  <c r="AR8" i="8"/>
  <c r="AS7" i="8"/>
  <c r="AR7" i="8"/>
  <c r="AS6" i="8"/>
  <c r="AR6" i="8"/>
  <c r="AS5" i="8"/>
  <c r="AR5" i="8"/>
  <c r="O51" i="7"/>
  <c r="N51" i="7"/>
  <c r="M51" i="7"/>
  <c r="J51" i="7"/>
  <c r="G51" i="7"/>
  <c r="E51" i="7"/>
  <c r="AH87" i="7" s="1"/>
  <c r="O50" i="7"/>
  <c r="N50" i="7"/>
  <c r="M50" i="7"/>
  <c r="J50" i="7"/>
  <c r="G50" i="7"/>
  <c r="E50" i="7"/>
  <c r="AH86" i="7" s="1"/>
  <c r="Q17" i="6"/>
  <c r="Q16" i="6"/>
  <c r="Q15" i="6"/>
  <c r="Q14" i="6"/>
  <c r="Q13" i="6"/>
  <c r="Q12" i="6"/>
  <c r="Q11" i="6"/>
  <c r="Q10" i="6"/>
  <c r="AL37" i="6" s="1"/>
  <c r="Q9" i="6"/>
  <c r="AL36" i="6" s="1"/>
  <c r="Q8" i="6"/>
  <c r="AL35" i="6" s="1"/>
  <c r="Q7" i="6"/>
  <c r="AL34" i="6" s="1"/>
  <c r="Q6" i="6"/>
  <c r="AL33" i="6" s="1"/>
  <c r="Q5" i="6"/>
  <c r="AL32" i="6" s="1"/>
  <c r="L132" i="5"/>
  <c r="K132" i="5"/>
  <c r="J132" i="5"/>
  <c r="Q4" i="6" s="1"/>
  <c r="AL31" i="6" s="1"/>
  <c r="Q63" i="4"/>
  <c r="Q51" i="4"/>
  <c r="Q27" i="4"/>
  <c r="Q15" i="4"/>
  <c r="Q73" i="4"/>
  <c r="Q72" i="4"/>
  <c r="Q71" i="4"/>
  <c r="Q70" i="4"/>
  <c r="Q69" i="4"/>
  <c r="Q68" i="4"/>
  <c r="Q67" i="4"/>
  <c r="Q66" i="4"/>
  <c r="Q65" i="4"/>
  <c r="Q37" i="4"/>
  <c r="Q36" i="4"/>
  <c r="Q35" i="4"/>
  <c r="Q34" i="4"/>
  <c r="Q33" i="4"/>
  <c r="Q32" i="4"/>
  <c r="Q31" i="4"/>
  <c r="Q30" i="4"/>
  <c r="Q29" i="4"/>
  <c r="N519" i="3"/>
  <c r="M519" i="3"/>
  <c r="J519" i="3"/>
  <c r="I519" i="3"/>
  <c r="F519" i="3"/>
  <c r="N518" i="3"/>
  <c r="M518" i="3"/>
  <c r="J518" i="3"/>
  <c r="I518" i="3"/>
  <c r="F518" i="3"/>
  <c r="N516" i="3"/>
  <c r="M516" i="3"/>
  <c r="J516" i="3"/>
  <c r="I516" i="3"/>
  <c r="F516" i="3"/>
  <c r="N515" i="3"/>
  <c r="M515" i="3"/>
  <c r="J515" i="3"/>
  <c r="I515" i="3"/>
  <c r="F515" i="3"/>
  <c r="N514" i="3"/>
  <c r="M514" i="3"/>
  <c r="J514" i="3"/>
  <c r="I514" i="3"/>
  <c r="F514" i="3"/>
  <c r="N318" i="3"/>
  <c r="M318" i="3"/>
  <c r="J318" i="3"/>
  <c r="I318" i="3"/>
  <c r="F318" i="3"/>
  <c r="N317" i="3"/>
  <c r="M317" i="3"/>
  <c r="J317" i="3"/>
  <c r="I317" i="3"/>
  <c r="F317" i="3"/>
  <c r="N316" i="3"/>
  <c r="M316" i="3"/>
  <c r="J316" i="3"/>
  <c r="I316" i="3"/>
  <c r="F316" i="3"/>
  <c r="N315" i="3"/>
  <c r="M315" i="3"/>
  <c r="J315" i="3"/>
  <c r="I315" i="3"/>
  <c r="F315" i="3"/>
  <c r="N314" i="3"/>
  <c r="M314" i="3"/>
  <c r="J314" i="3"/>
  <c r="I314" i="3"/>
  <c r="F314" i="3"/>
  <c r="N313" i="3"/>
  <c r="M313" i="3"/>
  <c r="J313" i="3"/>
  <c r="I313" i="3"/>
  <c r="F313" i="3"/>
  <c r="N312" i="3"/>
  <c r="M312" i="3"/>
  <c r="J312" i="3"/>
  <c r="I312" i="3"/>
  <c r="F312" i="3"/>
  <c r="R82" i="2"/>
  <c r="L114" i="2" s="1"/>
  <c r="F111" i="3"/>
  <c r="F112" i="3"/>
  <c r="F113" i="3"/>
  <c r="F114" i="3"/>
  <c r="F115" i="3"/>
  <c r="F110" i="3"/>
  <c r="N115" i="3"/>
  <c r="M115" i="3"/>
  <c r="J115" i="3"/>
  <c r="I115" i="3"/>
  <c r="N114" i="3"/>
  <c r="M114" i="3"/>
  <c r="J114" i="3"/>
  <c r="I114" i="3"/>
  <c r="N113" i="3"/>
  <c r="M113" i="3"/>
  <c r="J113" i="3"/>
  <c r="I113" i="3"/>
  <c r="N112" i="3"/>
  <c r="M112" i="3"/>
  <c r="J112" i="3"/>
  <c r="I112" i="3"/>
  <c r="N111" i="3"/>
  <c r="M111" i="3"/>
  <c r="J111" i="3"/>
  <c r="I111" i="3"/>
  <c r="N110" i="3"/>
  <c r="M110" i="3"/>
  <c r="J110" i="3"/>
  <c r="I110" i="3"/>
  <c r="N109" i="3"/>
  <c r="M109" i="3"/>
  <c r="J109" i="3"/>
  <c r="I109" i="3"/>
  <c r="F109" i="3"/>
  <c r="Q36" i="2"/>
  <c r="Q31" i="2" s="1"/>
  <c r="Q35" i="2"/>
  <c r="Q18" i="2"/>
  <c r="Q15" i="2"/>
  <c r="Q92" i="4" l="1"/>
  <c r="Q96" i="4"/>
  <c r="Q94" i="4"/>
  <c r="Q89" i="4"/>
  <c r="Q93" i="4"/>
  <c r="Q97" i="4"/>
  <c r="Q99" i="4"/>
  <c r="Q90" i="4"/>
  <c r="Q91" i="4"/>
  <c r="Q95" i="4"/>
  <c r="Q79" i="4"/>
  <c r="Q83" i="4"/>
  <c r="Q81" i="4"/>
  <c r="Q78" i="4"/>
  <c r="Q80" i="4"/>
  <c r="Q84" i="4"/>
  <c r="Q87" i="4"/>
  <c r="Q77" i="4"/>
  <c r="Q85" i="4"/>
  <c r="Q82" i="4"/>
  <c r="AL38" i="6"/>
  <c r="Q39" i="4"/>
  <c r="Q75" i="4"/>
  <c r="E114" i="2"/>
  <c r="I114" i="2"/>
  <c r="M114" i="2"/>
  <c r="B114" i="2"/>
  <c r="F114" i="2"/>
  <c r="J114" i="2"/>
  <c r="N114" i="2"/>
  <c r="P82" i="2"/>
  <c r="P114" i="2" s="1"/>
  <c r="C114" i="2"/>
  <c r="G114" i="2"/>
  <c r="K114" i="2"/>
  <c r="O114" i="2"/>
  <c r="D114" i="2"/>
  <c r="H114" i="2"/>
  <c r="Q34" i="2"/>
  <c r="Q30" i="2"/>
  <c r="Q20" i="2"/>
  <c r="Q19" i="2"/>
  <c r="Q17" i="2"/>
  <c r="Q16" i="2"/>
  <c r="Q33" i="2"/>
  <c r="P32" i="2"/>
  <c r="C16" i="6"/>
  <c r="C15" i="6"/>
  <c r="C14" i="6"/>
  <c r="C13" i="6"/>
  <c r="C12" i="6"/>
  <c r="C11" i="6"/>
  <c r="C10" i="6"/>
  <c r="C9" i="6"/>
  <c r="C8" i="6"/>
  <c r="C7" i="6"/>
  <c r="C6" i="6"/>
  <c r="C5" i="6"/>
  <c r="C4" i="6"/>
  <c r="X38" i="5"/>
  <c r="W38" i="5"/>
  <c r="V38" i="5"/>
  <c r="U38" i="5"/>
  <c r="T38" i="5"/>
  <c r="P29" i="2"/>
  <c r="O32" i="2"/>
  <c r="AK109" i="8" l="1"/>
  <c r="AL109" i="8"/>
  <c r="AL246" i="8"/>
  <c r="AK246" i="8"/>
  <c r="AL245" i="8"/>
  <c r="AK245" i="8"/>
  <c r="AL244" i="8"/>
  <c r="AK244" i="8"/>
  <c r="AL243" i="8"/>
  <c r="AK243" i="8"/>
  <c r="AL241" i="8"/>
  <c r="AK241" i="8"/>
  <c r="AL240" i="8"/>
  <c r="AK240" i="8"/>
  <c r="AL239" i="8"/>
  <c r="AK239" i="8"/>
  <c r="AL237" i="8"/>
  <c r="AK237" i="8"/>
  <c r="AL236" i="8"/>
  <c r="AK236" i="8"/>
  <c r="AL235" i="8"/>
  <c r="AK235" i="8"/>
  <c r="AL234" i="8"/>
  <c r="AK234" i="8"/>
  <c r="AL233" i="8"/>
  <c r="AK233" i="8"/>
  <c r="AL232" i="8"/>
  <c r="AK232" i="8"/>
  <c r="AL231" i="8"/>
  <c r="AK231" i="8"/>
  <c r="AL230" i="8"/>
  <c r="AK230" i="8"/>
  <c r="AL229" i="8"/>
  <c r="AK229" i="8"/>
  <c r="AL228" i="8"/>
  <c r="AK228" i="8"/>
  <c r="AL226" i="8"/>
  <c r="AK226" i="8"/>
  <c r="AL225" i="8"/>
  <c r="AK225" i="8"/>
  <c r="AL224" i="8"/>
  <c r="AK224" i="8"/>
  <c r="AL221" i="8"/>
  <c r="AK221" i="8"/>
  <c r="AL220" i="8"/>
  <c r="AK220" i="8"/>
  <c r="AL219" i="8"/>
  <c r="AK219" i="8"/>
  <c r="AL218" i="8"/>
  <c r="AK218" i="8"/>
  <c r="AL217" i="8"/>
  <c r="AK217" i="8"/>
  <c r="AL216" i="8"/>
  <c r="AK216" i="8"/>
  <c r="AL215" i="8"/>
  <c r="AK215" i="8"/>
  <c r="AL213" i="8"/>
  <c r="AK213" i="8"/>
  <c r="AL212" i="8"/>
  <c r="AK212" i="8"/>
  <c r="AL209" i="8"/>
  <c r="AK209" i="8"/>
  <c r="AL208" i="8"/>
  <c r="AK208" i="8"/>
  <c r="AL207" i="8"/>
  <c r="AK207" i="8"/>
  <c r="AL205" i="8"/>
  <c r="AK205" i="8"/>
  <c r="AL204" i="8"/>
  <c r="AK204" i="8"/>
  <c r="AL202" i="8"/>
  <c r="AK202" i="8"/>
  <c r="AL201" i="8"/>
  <c r="AK201" i="8"/>
  <c r="AL200" i="8"/>
  <c r="AK200" i="8"/>
  <c r="AL199" i="8"/>
  <c r="AK199" i="8"/>
  <c r="AL198" i="8"/>
  <c r="AK198" i="8"/>
  <c r="AL197" i="8"/>
  <c r="AK197" i="8"/>
  <c r="AL196" i="8"/>
  <c r="AK196" i="8"/>
  <c r="AL195" i="8"/>
  <c r="AK195" i="8"/>
  <c r="AL194" i="8"/>
  <c r="AK194" i="8"/>
  <c r="AL193" i="8"/>
  <c r="AK193" i="8"/>
  <c r="AL192" i="8"/>
  <c r="AK192" i="8"/>
  <c r="AL191" i="8"/>
  <c r="AK191" i="8"/>
  <c r="AL190" i="8"/>
  <c r="AK190" i="8"/>
  <c r="AL189" i="8"/>
  <c r="AK189" i="8"/>
  <c r="AL188" i="8"/>
  <c r="AK188" i="8"/>
  <c r="AL187" i="8"/>
  <c r="AK187" i="8"/>
  <c r="AL186" i="8"/>
  <c r="AK186" i="8"/>
  <c r="AL185" i="8"/>
  <c r="AK185" i="8"/>
  <c r="AL184" i="8"/>
  <c r="AK184" i="8"/>
  <c r="AL183" i="8"/>
  <c r="AK183" i="8"/>
  <c r="AL182" i="8"/>
  <c r="AK182" i="8"/>
  <c r="AL181" i="8"/>
  <c r="AK181" i="8"/>
  <c r="AL180" i="8"/>
  <c r="AK180" i="8"/>
  <c r="AL179" i="8"/>
  <c r="AK179" i="8"/>
  <c r="AL178" i="8"/>
  <c r="AK178" i="8"/>
  <c r="AL177" i="8"/>
  <c r="AK177" i="8"/>
  <c r="AL176" i="8"/>
  <c r="AK176" i="8"/>
  <c r="AL173" i="8"/>
  <c r="AK173" i="8"/>
  <c r="AL172" i="8"/>
  <c r="AK172" i="8"/>
  <c r="AL171" i="8"/>
  <c r="AK171" i="8"/>
  <c r="AL170" i="8"/>
  <c r="AK170" i="8"/>
  <c r="AL169" i="8"/>
  <c r="AK169" i="8"/>
  <c r="AL168" i="8"/>
  <c r="AK168" i="8"/>
  <c r="AL167" i="8"/>
  <c r="AK167" i="8"/>
  <c r="AL166" i="8"/>
  <c r="AK166" i="8"/>
  <c r="AL165" i="8"/>
  <c r="AK165" i="8"/>
  <c r="AL164" i="8"/>
  <c r="AK164" i="8"/>
  <c r="AL163" i="8"/>
  <c r="AK163" i="8"/>
  <c r="AL162" i="8"/>
  <c r="AK162" i="8"/>
  <c r="AL161" i="8"/>
  <c r="AK161" i="8"/>
  <c r="AL159" i="8"/>
  <c r="AK159" i="8"/>
  <c r="AL158" i="8"/>
  <c r="AK158" i="8"/>
  <c r="AL157" i="8"/>
  <c r="AK157" i="8"/>
  <c r="AL156" i="8"/>
  <c r="AK156" i="8"/>
  <c r="AL155" i="8"/>
  <c r="AK155" i="8"/>
  <c r="AL154" i="8"/>
  <c r="AK154" i="8"/>
  <c r="AL153" i="8"/>
  <c r="AK153" i="8"/>
  <c r="AL152" i="8"/>
  <c r="AK152" i="8"/>
  <c r="AL151" i="8"/>
  <c r="AK151" i="8"/>
  <c r="AL150" i="8"/>
  <c r="AK150" i="8"/>
  <c r="AL149" i="8"/>
  <c r="AK149" i="8"/>
  <c r="AL148" i="8"/>
  <c r="AK148" i="8"/>
  <c r="AL147" i="8"/>
  <c r="AK147" i="8"/>
  <c r="AL146" i="8"/>
  <c r="AK146" i="8"/>
  <c r="AL145" i="8"/>
  <c r="AK145" i="8"/>
  <c r="AL144" i="8"/>
  <c r="AK144" i="8"/>
  <c r="AL140" i="8"/>
  <c r="AK140" i="8"/>
  <c r="AL139" i="8"/>
  <c r="AK139" i="8"/>
  <c r="AL138" i="8"/>
  <c r="AK138" i="8"/>
  <c r="AL137" i="8"/>
  <c r="AK137" i="8"/>
  <c r="AL136" i="8"/>
  <c r="AK136" i="8"/>
  <c r="AL135" i="8"/>
  <c r="AK135" i="8"/>
  <c r="AL134" i="8"/>
  <c r="AK134" i="8"/>
  <c r="AL133" i="8"/>
  <c r="AK133" i="8"/>
  <c r="AL132" i="8"/>
  <c r="AK132" i="8"/>
  <c r="AL130" i="8"/>
  <c r="AK130" i="8"/>
  <c r="AL129" i="8"/>
  <c r="AK129" i="8"/>
  <c r="AL128" i="8"/>
  <c r="AK128" i="8"/>
  <c r="AL127" i="8"/>
  <c r="AK127" i="8"/>
  <c r="AL126" i="8"/>
  <c r="AK126" i="8"/>
  <c r="AL125" i="8"/>
  <c r="AK125" i="8"/>
  <c r="AL124" i="8"/>
  <c r="AK124" i="8"/>
  <c r="AL123" i="8"/>
  <c r="AK123" i="8"/>
  <c r="AL122" i="8"/>
  <c r="AK122" i="8"/>
  <c r="AL120" i="8"/>
  <c r="AK120" i="8"/>
  <c r="AL119" i="8"/>
  <c r="AK119" i="8"/>
  <c r="AL118" i="8"/>
  <c r="AK118" i="8"/>
  <c r="AL117" i="8"/>
  <c r="AK117" i="8"/>
  <c r="AL116" i="8"/>
  <c r="AK116" i="8"/>
  <c r="AL115" i="8"/>
  <c r="AK115" i="8"/>
  <c r="AL114" i="8"/>
  <c r="AK114" i="8"/>
  <c r="AL112" i="8"/>
  <c r="AK112" i="8"/>
  <c r="AL111" i="8"/>
  <c r="AK111" i="8"/>
  <c r="AL110" i="8"/>
  <c r="AK110" i="8"/>
  <c r="AL108" i="8"/>
  <c r="AK108" i="8"/>
  <c r="AL107" i="8"/>
  <c r="AK107" i="8"/>
  <c r="AL106" i="8"/>
  <c r="AK106" i="8"/>
  <c r="AL105" i="8"/>
  <c r="AK105" i="8"/>
  <c r="AL104" i="8"/>
  <c r="AK104" i="8"/>
  <c r="AL103" i="8"/>
  <c r="AK103" i="8"/>
  <c r="AL101" i="8"/>
  <c r="AK101" i="8"/>
  <c r="AL100" i="8"/>
  <c r="AK100" i="8"/>
  <c r="AL99" i="8"/>
  <c r="AK99" i="8"/>
  <c r="AL98" i="8"/>
  <c r="AK98" i="8"/>
  <c r="AL97" i="8"/>
  <c r="AK97" i="8"/>
  <c r="AL96" i="8"/>
  <c r="AK96" i="8"/>
  <c r="AL95" i="8"/>
  <c r="AK95" i="8"/>
  <c r="AL94" i="8"/>
  <c r="AK94" i="8"/>
  <c r="AL93" i="8"/>
  <c r="AK93" i="8"/>
  <c r="AL92" i="8"/>
  <c r="AK92" i="8"/>
  <c r="AL91" i="8"/>
  <c r="AK91" i="8"/>
  <c r="AL90" i="8"/>
  <c r="AK90" i="8"/>
  <c r="AL89" i="8"/>
  <c r="AK89" i="8"/>
  <c r="AL88" i="8"/>
  <c r="AK88" i="8"/>
  <c r="AL87" i="8"/>
  <c r="AK87" i="8"/>
  <c r="AL86" i="8"/>
  <c r="AK86" i="8"/>
  <c r="AL85" i="8"/>
  <c r="AK85" i="8"/>
  <c r="AL84" i="8"/>
  <c r="AK84" i="8"/>
  <c r="AL83" i="8"/>
  <c r="AK83" i="8"/>
  <c r="AL82" i="8"/>
  <c r="AK82" i="8"/>
  <c r="AL81" i="8"/>
  <c r="AK81" i="8"/>
  <c r="AL80" i="8"/>
  <c r="AK80" i="8"/>
  <c r="AL79" i="8"/>
  <c r="AK79" i="8"/>
  <c r="AL78" i="8"/>
  <c r="AK78" i="8"/>
  <c r="AL77" i="8"/>
  <c r="AK77" i="8"/>
  <c r="AL76" i="8"/>
  <c r="AK76" i="8"/>
  <c r="AL74" i="8"/>
  <c r="AK74" i="8"/>
  <c r="AL73" i="8"/>
  <c r="AK73" i="8"/>
  <c r="AL72" i="8"/>
  <c r="AK72" i="8"/>
  <c r="AL71" i="8"/>
  <c r="AK71" i="8"/>
  <c r="AL70" i="8"/>
  <c r="AK70" i="8"/>
  <c r="AL69" i="8"/>
  <c r="AK69" i="8"/>
  <c r="AL68" i="8"/>
  <c r="AK68" i="8"/>
  <c r="AL67" i="8"/>
  <c r="AK67" i="8"/>
  <c r="AL66" i="8"/>
  <c r="AK66" i="8"/>
  <c r="AL65" i="8"/>
  <c r="AK65" i="8"/>
  <c r="AL64" i="8"/>
  <c r="AK64" i="8"/>
  <c r="AL63" i="8"/>
  <c r="AK63" i="8"/>
  <c r="AL62" i="8"/>
  <c r="AK62" i="8"/>
  <c r="AL61" i="8"/>
  <c r="AK61" i="8"/>
  <c r="AL60" i="8"/>
  <c r="AK60" i="8"/>
  <c r="AL59" i="8"/>
  <c r="AK59" i="8"/>
  <c r="AL58" i="8"/>
  <c r="AK58" i="8"/>
  <c r="AL57" i="8"/>
  <c r="AK57" i="8"/>
  <c r="AL56" i="8"/>
  <c r="AK56" i="8"/>
  <c r="AL55" i="8"/>
  <c r="AK55" i="8"/>
  <c r="AL54" i="8"/>
  <c r="AK54" i="8"/>
  <c r="AL53" i="8"/>
  <c r="AK53" i="8"/>
  <c r="AL52" i="8"/>
  <c r="AK52" i="8"/>
  <c r="AL51" i="8"/>
  <c r="AK51" i="8"/>
  <c r="AL50" i="8"/>
  <c r="AK50" i="8"/>
  <c r="AL49" i="8"/>
  <c r="AK49" i="8"/>
  <c r="AL48" i="8"/>
  <c r="AK48" i="8"/>
  <c r="AL47" i="8"/>
  <c r="AK47" i="8"/>
  <c r="AL45" i="8"/>
  <c r="AK45" i="8"/>
  <c r="AL44" i="8"/>
  <c r="AK44" i="8"/>
  <c r="AL42" i="8"/>
  <c r="AK42" i="8"/>
  <c r="AL41" i="8"/>
  <c r="AK41" i="8"/>
  <c r="AL40" i="8"/>
  <c r="AK40" i="8"/>
  <c r="AL39" i="8"/>
  <c r="AK39" i="8"/>
  <c r="AL38" i="8"/>
  <c r="AK38" i="8"/>
  <c r="AL37" i="8"/>
  <c r="AK37" i="8"/>
  <c r="AL36" i="8"/>
  <c r="AK36" i="8"/>
  <c r="AL35" i="8"/>
  <c r="AK35" i="8"/>
  <c r="AL34" i="8"/>
  <c r="AK34" i="8"/>
  <c r="AL32" i="8"/>
  <c r="AK32" i="8"/>
  <c r="AL31" i="8"/>
  <c r="AK31" i="8"/>
  <c r="AL30" i="8"/>
  <c r="AK30" i="8"/>
  <c r="AL29" i="8"/>
  <c r="AK29" i="8"/>
  <c r="AL28" i="8"/>
  <c r="AK28" i="8"/>
  <c r="AL27" i="8"/>
  <c r="AK27" i="8"/>
  <c r="AL26" i="8"/>
  <c r="AK26" i="8"/>
  <c r="AL25" i="8"/>
  <c r="AK25" i="8"/>
  <c r="AL24" i="8"/>
  <c r="AK24" i="8"/>
  <c r="AL23" i="8"/>
  <c r="AK23" i="8"/>
  <c r="AL22" i="8"/>
  <c r="AK22" i="8"/>
  <c r="AL21" i="8"/>
  <c r="AK21" i="8"/>
  <c r="AL20" i="8"/>
  <c r="AK20" i="8"/>
  <c r="AL19" i="8"/>
  <c r="AK19" i="8"/>
  <c r="AL18" i="8"/>
  <c r="AK18" i="8"/>
  <c r="AL17" i="8"/>
  <c r="AK17" i="8"/>
  <c r="AL16" i="8"/>
  <c r="AK16" i="8"/>
  <c r="AL15" i="8"/>
  <c r="AK15" i="8"/>
  <c r="AL14" i="8"/>
  <c r="AK14" i="8"/>
  <c r="AL13" i="8"/>
  <c r="AK13" i="8"/>
  <c r="AL12" i="8"/>
  <c r="AK12" i="8"/>
  <c r="AL11" i="8"/>
  <c r="AK11" i="8"/>
  <c r="AL10" i="8"/>
  <c r="AK10" i="8"/>
  <c r="AL9" i="8"/>
  <c r="AK9" i="8"/>
  <c r="AL8" i="8"/>
  <c r="AK8" i="8"/>
  <c r="AL7" i="8"/>
  <c r="AK7" i="8"/>
  <c r="AL6" i="8"/>
  <c r="AK6" i="8"/>
  <c r="AL5" i="8"/>
  <c r="AK5" i="8"/>
  <c r="AE246" i="8"/>
  <c r="AD246" i="8"/>
  <c r="A15" i="1"/>
  <c r="A14" i="1"/>
  <c r="A13" i="1"/>
  <c r="A12" i="1"/>
  <c r="A11" i="1"/>
  <c r="A10" i="1"/>
  <c r="A9" i="1"/>
  <c r="A7" i="1"/>
  <c r="A6" i="1"/>
  <c r="A5" i="1"/>
  <c r="A4" i="1"/>
  <c r="A3" i="1"/>
  <c r="AE245" i="8"/>
  <c r="AD245" i="8"/>
  <c r="AE244" i="8"/>
  <c r="AD244" i="8"/>
  <c r="AE243" i="8"/>
  <c r="AD243" i="8"/>
  <c r="X243" i="8"/>
  <c r="W243" i="8"/>
  <c r="Q243" i="8"/>
  <c r="P243" i="8"/>
  <c r="J243" i="8"/>
  <c r="I243" i="8"/>
  <c r="X242" i="8"/>
  <c r="W242" i="8"/>
  <c r="AE241" i="8"/>
  <c r="AD241" i="8"/>
  <c r="X241" i="8"/>
  <c r="W241" i="8"/>
  <c r="Q241" i="8"/>
  <c r="P241" i="8"/>
  <c r="J241" i="8"/>
  <c r="I241" i="8"/>
  <c r="AE240" i="8"/>
  <c r="AD240" i="8"/>
  <c r="X240" i="8"/>
  <c r="W240" i="8"/>
  <c r="Q240" i="8"/>
  <c r="P240" i="8"/>
  <c r="J240" i="8"/>
  <c r="I240" i="8"/>
  <c r="AE239" i="8"/>
  <c r="AD239" i="8"/>
  <c r="X239" i="8"/>
  <c r="W239" i="8"/>
  <c r="Q239" i="8"/>
  <c r="P239" i="8"/>
  <c r="J239" i="8"/>
  <c r="I239" i="8"/>
  <c r="J238" i="8"/>
  <c r="I238" i="8"/>
  <c r="AE237" i="8"/>
  <c r="AD237" i="8"/>
  <c r="X237" i="8"/>
  <c r="W237" i="8"/>
  <c r="Q237" i="8"/>
  <c r="P237" i="8"/>
  <c r="J237" i="8"/>
  <c r="I237" i="8"/>
  <c r="AE236" i="8"/>
  <c r="AD236" i="8"/>
  <c r="X236" i="8"/>
  <c r="W236" i="8"/>
  <c r="Q236" i="8"/>
  <c r="P236" i="8"/>
  <c r="J236" i="8"/>
  <c r="I236" i="8"/>
  <c r="AE235" i="8"/>
  <c r="AD235" i="8"/>
  <c r="X235" i="8"/>
  <c r="W235" i="8"/>
  <c r="Q235" i="8"/>
  <c r="P235" i="8"/>
  <c r="J235" i="8"/>
  <c r="I235" i="8"/>
  <c r="AE234" i="8"/>
  <c r="AD234" i="8"/>
  <c r="X234" i="8"/>
  <c r="W234" i="8"/>
  <c r="Q234" i="8"/>
  <c r="P234" i="8"/>
  <c r="J234" i="8"/>
  <c r="I234" i="8"/>
  <c r="AE233" i="8"/>
  <c r="AD233" i="8"/>
  <c r="X233" i="8"/>
  <c r="W233" i="8"/>
  <c r="Q233" i="8"/>
  <c r="P233" i="8"/>
  <c r="J233" i="8"/>
  <c r="I233" i="8"/>
  <c r="AE232" i="8"/>
  <c r="AD232" i="8"/>
  <c r="X232" i="8"/>
  <c r="W232" i="8"/>
  <c r="Q232" i="8"/>
  <c r="P232" i="8"/>
  <c r="J232" i="8"/>
  <c r="I232" i="8"/>
  <c r="AE231" i="8"/>
  <c r="AD231" i="8"/>
  <c r="X231" i="8"/>
  <c r="W231" i="8"/>
  <c r="Q231" i="8"/>
  <c r="P231" i="8"/>
  <c r="J231" i="8"/>
  <c r="I231" i="8"/>
  <c r="AE230" i="8"/>
  <c r="AD230" i="8"/>
  <c r="X230" i="8"/>
  <c r="W230" i="8"/>
  <c r="Q230" i="8"/>
  <c r="P230" i="8"/>
  <c r="J230" i="8"/>
  <c r="I230" i="8"/>
  <c r="AE229" i="8"/>
  <c r="AD229" i="8"/>
  <c r="X229" i="8"/>
  <c r="W229" i="8"/>
  <c r="Q229" i="8"/>
  <c r="P229" i="8"/>
  <c r="J229" i="8"/>
  <c r="I229" i="8"/>
  <c r="AE228" i="8"/>
  <c r="AD228" i="8"/>
  <c r="X228" i="8"/>
  <c r="W228" i="8"/>
  <c r="Q228" i="8"/>
  <c r="P228" i="8"/>
  <c r="J228" i="8"/>
  <c r="I228" i="8"/>
  <c r="AE226" i="8"/>
  <c r="AD226" i="8"/>
  <c r="X226" i="8"/>
  <c r="W226" i="8"/>
  <c r="Q226" i="8"/>
  <c r="P226" i="8"/>
  <c r="J226" i="8"/>
  <c r="I226" i="8"/>
  <c r="AE225" i="8"/>
  <c r="AD225" i="8"/>
  <c r="X225" i="8"/>
  <c r="W225" i="8"/>
  <c r="Q225" i="8"/>
  <c r="P225" i="8"/>
  <c r="J225" i="8"/>
  <c r="I225" i="8"/>
  <c r="AE224" i="8"/>
  <c r="AD224" i="8"/>
  <c r="X224" i="8"/>
  <c r="W224" i="8"/>
  <c r="Q224" i="8"/>
  <c r="P224" i="8"/>
  <c r="J224" i="8"/>
  <c r="I224" i="8"/>
  <c r="X223" i="8"/>
  <c r="W223" i="8"/>
  <c r="Q223" i="8"/>
  <c r="P223" i="8"/>
  <c r="J223" i="8"/>
  <c r="I223" i="8"/>
  <c r="AE221" i="8"/>
  <c r="AD221" i="8"/>
  <c r="X221" i="8"/>
  <c r="W221" i="8"/>
  <c r="Q221" i="8"/>
  <c r="P221" i="8"/>
  <c r="J221" i="8"/>
  <c r="I221" i="8"/>
  <c r="AE220" i="8"/>
  <c r="AD220" i="8"/>
  <c r="X220" i="8"/>
  <c r="W220" i="8"/>
  <c r="Q220" i="8"/>
  <c r="P220" i="8"/>
  <c r="J220" i="8"/>
  <c r="I220" i="8"/>
  <c r="AE219" i="8"/>
  <c r="AD219" i="8"/>
  <c r="X219" i="8"/>
  <c r="W219" i="8"/>
  <c r="Q219" i="8"/>
  <c r="P219" i="8"/>
  <c r="J219" i="8"/>
  <c r="I219" i="8"/>
  <c r="AE218" i="8"/>
  <c r="AD218" i="8"/>
  <c r="X218" i="8"/>
  <c r="W218" i="8"/>
  <c r="Q218" i="8"/>
  <c r="P218" i="8"/>
  <c r="J218" i="8"/>
  <c r="I218" i="8"/>
  <c r="AE217" i="8"/>
  <c r="AD217" i="8"/>
  <c r="X217" i="8"/>
  <c r="W217" i="8"/>
  <c r="Q217" i="8"/>
  <c r="P217" i="8"/>
  <c r="J217" i="8"/>
  <c r="I217" i="8"/>
  <c r="AE216" i="8"/>
  <c r="AD216" i="8"/>
  <c r="X216" i="8"/>
  <c r="W216" i="8"/>
  <c r="Q216" i="8"/>
  <c r="P216" i="8"/>
  <c r="J216" i="8"/>
  <c r="I216" i="8"/>
  <c r="AE215" i="8"/>
  <c r="AD215" i="8"/>
  <c r="X215" i="8"/>
  <c r="W215" i="8"/>
  <c r="Q215" i="8"/>
  <c r="P215" i="8"/>
  <c r="J215" i="8"/>
  <c r="I215" i="8"/>
  <c r="W214" i="8"/>
  <c r="Q214" i="8"/>
  <c r="P214" i="8"/>
  <c r="J214" i="8"/>
  <c r="I214" i="8"/>
  <c r="AE213" i="8"/>
  <c r="AD213" i="8"/>
  <c r="X213" i="8"/>
  <c r="W213" i="8"/>
  <c r="Q213" i="8"/>
  <c r="P213" i="8"/>
  <c r="J213" i="8"/>
  <c r="I213" i="8"/>
  <c r="AE212" i="8"/>
  <c r="AD212" i="8"/>
  <c r="X212" i="8"/>
  <c r="W212" i="8"/>
  <c r="Q212" i="8"/>
  <c r="P212" i="8"/>
  <c r="J212" i="8"/>
  <c r="I212" i="8"/>
  <c r="X211" i="8"/>
  <c r="W211" i="8"/>
  <c r="Q211" i="8"/>
  <c r="P211" i="8"/>
  <c r="J211" i="8"/>
  <c r="I211" i="8"/>
  <c r="AE209" i="8"/>
  <c r="AD209" i="8"/>
  <c r="X209" i="8"/>
  <c r="W209" i="8"/>
  <c r="Q209" i="8"/>
  <c r="P209" i="8"/>
  <c r="J209" i="8"/>
  <c r="I209" i="8"/>
  <c r="AE208" i="8"/>
  <c r="AD208" i="8"/>
  <c r="X208" i="8"/>
  <c r="W208" i="8"/>
  <c r="Q208" i="8"/>
  <c r="P208" i="8"/>
  <c r="J208" i="8"/>
  <c r="I208" i="8"/>
  <c r="AE207" i="8"/>
  <c r="AD207" i="8"/>
  <c r="X207" i="8"/>
  <c r="W207" i="8"/>
  <c r="Q207" i="8"/>
  <c r="P207" i="8"/>
  <c r="J207" i="8"/>
  <c r="I207" i="8"/>
  <c r="AE205" i="8"/>
  <c r="AD205" i="8"/>
  <c r="X205" i="8"/>
  <c r="W205" i="8"/>
  <c r="Q205" i="8"/>
  <c r="P205" i="8"/>
  <c r="J205" i="8"/>
  <c r="I205" i="8"/>
  <c r="AE204" i="8"/>
  <c r="AD204" i="8"/>
  <c r="X204" i="8"/>
  <c r="W204" i="8"/>
  <c r="Q204" i="8"/>
  <c r="P204" i="8"/>
  <c r="J204" i="8"/>
  <c r="I204" i="8"/>
  <c r="AE202" i="8"/>
  <c r="AD202" i="8"/>
  <c r="X202" i="8"/>
  <c r="W202" i="8"/>
  <c r="Q202" i="8"/>
  <c r="P202" i="8"/>
  <c r="J202" i="8"/>
  <c r="I202" i="8"/>
  <c r="AE201" i="8"/>
  <c r="AD201" i="8"/>
  <c r="X201" i="8"/>
  <c r="W201" i="8"/>
  <c r="Q201" i="8"/>
  <c r="P201" i="8"/>
  <c r="J201" i="8"/>
  <c r="I201" i="8"/>
  <c r="AE200" i="8"/>
  <c r="AD200" i="8"/>
  <c r="X200" i="8"/>
  <c r="W200" i="8"/>
  <c r="Q200" i="8"/>
  <c r="P200" i="8"/>
  <c r="J200" i="8"/>
  <c r="I200" i="8"/>
  <c r="AE199" i="8"/>
  <c r="AD199" i="8"/>
  <c r="X199" i="8"/>
  <c r="W199" i="8"/>
  <c r="Q199" i="8"/>
  <c r="P199" i="8"/>
  <c r="J199" i="8"/>
  <c r="I199" i="8"/>
  <c r="AE198" i="8"/>
  <c r="AD198" i="8"/>
  <c r="X198" i="8"/>
  <c r="W198" i="8"/>
  <c r="Q198" i="8"/>
  <c r="P198" i="8"/>
  <c r="J198" i="8"/>
  <c r="I198" i="8"/>
  <c r="AE197" i="8"/>
  <c r="AD197" i="8"/>
  <c r="X197" i="8"/>
  <c r="W197" i="8"/>
  <c r="Q197" i="8"/>
  <c r="P197" i="8"/>
  <c r="J197" i="8"/>
  <c r="I197" i="8"/>
  <c r="AE196" i="8"/>
  <c r="AD196" i="8"/>
  <c r="X196" i="8"/>
  <c r="W196" i="8"/>
  <c r="Q196" i="8"/>
  <c r="P196" i="8"/>
  <c r="J196" i="8"/>
  <c r="I196" i="8"/>
  <c r="AE195" i="8"/>
  <c r="AD195" i="8"/>
  <c r="X195" i="8"/>
  <c r="W195" i="8"/>
  <c r="Q195" i="8"/>
  <c r="P195" i="8"/>
  <c r="J195" i="8"/>
  <c r="I195" i="8"/>
  <c r="AE194" i="8"/>
  <c r="AD194" i="8"/>
  <c r="X194" i="8"/>
  <c r="W194" i="8"/>
  <c r="Q194" i="8"/>
  <c r="P194" i="8"/>
  <c r="J194" i="8"/>
  <c r="I194" i="8"/>
  <c r="AE193" i="8"/>
  <c r="AD193" i="8"/>
  <c r="X193" i="8"/>
  <c r="W193" i="8"/>
  <c r="Q193" i="8"/>
  <c r="P193" i="8"/>
  <c r="J193" i="8"/>
  <c r="I193" i="8"/>
  <c r="AE192" i="8"/>
  <c r="AD192" i="8"/>
  <c r="X192" i="8"/>
  <c r="W192" i="8"/>
  <c r="Q192" i="8"/>
  <c r="P192" i="8"/>
  <c r="J192" i="8"/>
  <c r="I192" i="8"/>
  <c r="AE191" i="8"/>
  <c r="AD191" i="8"/>
  <c r="X191" i="8"/>
  <c r="W191" i="8"/>
  <c r="Q191" i="8"/>
  <c r="P191" i="8"/>
  <c r="J191" i="8"/>
  <c r="I191" i="8"/>
  <c r="AE190" i="8"/>
  <c r="AD190" i="8"/>
  <c r="X190" i="8"/>
  <c r="W190" i="8"/>
  <c r="Q190" i="8"/>
  <c r="P190" i="8"/>
  <c r="J190" i="8"/>
  <c r="I190" i="8"/>
  <c r="AE189" i="8"/>
  <c r="AD189" i="8"/>
  <c r="X189" i="8"/>
  <c r="W189" i="8"/>
  <c r="Q189" i="8"/>
  <c r="P189" i="8"/>
  <c r="J189" i="8"/>
  <c r="I189" i="8"/>
  <c r="AE188" i="8"/>
  <c r="AD188" i="8"/>
  <c r="X188" i="8"/>
  <c r="W188" i="8"/>
  <c r="Q188" i="8"/>
  <c r="P188" i="8"/>
  <c r="J188" i="8"/>
  <c r="I188" i="8"/>
  <c r="AE187" i="8"/>
  <c r="AD187" i="8"/>
  <c r="X187" i="8"/>
  <c r="W187" i="8"/>
  <c r="Q187" i="8"/>
  <c r="P187" i="8"/>
  <c r="J187" i="8"/>
  <c r="I187" i="8"/>
  <c r="AE186" i="8"/>
  <c r="AD186" i="8"/>
  <c r="X186" i="8"/>
  <c r="W186" i="8"/>
  <c r="Q186" i="8"/>
  <c r="P186" i="8"/>
  <c r="J186" i="8"/>
  <c r="I186" i="8"/>
  <c r="AE185" i="8"/>
  <c r="AD185" i="8"/>
  <c r="X185" i="8"/>
  <c r="W185" i="8"/>
  <c r="Q185" i="8"/>
  <c r="P185" i="8"/>
  <c r="J185" i="8"/>
  <c r="I185" i="8"/>
  <c r="AE184" i="8"/>
  <c r="AD184" i="8"/>
  <c r="X184" i="8"/>
  <c r="W184" i="8"/>
  <c r="Q184" i="8"/>
  <c r="P184" i="8"/>
  <c r="J184" i="8"/>
  <c r="I184" i="8"/>
  <c r="AE183" i="8"/>
  <c r="AD183" i="8"/>
  <c r="X183" i="8"/>
  <c r="W183" i="8"/>
  <c r="Q183" i="8"/>
  <c r="P183" i="8"/>
  <c r="J183" i="8"/>
  <c r="I183" i="8"/>
  <c r="AE182" i="8"/>
  <c r="AD182" i="8"/>
  <c r="X182" i="8"/>
  <c r="W182" i="8"/>
  <c r="Q182" i="8"/>
  <c r="P182" i="8"/>
  <c r="J182" i="8"/>
  <c r="I182" i="8"/>
  <c r="AE181" i="8"/>
  <c r="AD181" i="8"/>
  <c r="X181" i="8"/>
  <c r="W181" i="8"/>
  <c r="Q181" i="8"/>
  <c r="P181" i="8"/>
  <c r="J181" i="8"/>
  <c r="I181" i="8"/>
  <c r="AE180" i="8"/>
  <c r="AD180" i="8"/>
  <c r="X180" i="8"/>
  <c r="W180" i="8"/>
  <c r="Q180" i="8"/>
  <c r="P180" i="8"/>
  <c r="J180" i="8"/>
  <c r="I180" i="8"/>
  <c r="AE179" i="8"/>
  <c r="AD179" i="8"/>
  <c r="X179" i="8"/>
  <c r="W179" i="8"/>
  <c r="Q179" i="8"/>
  <c r="P179" i="8"/>
  <c r="J179" i="8"/>
  <c r="I179" i="8"/>
  <c r="AE178" i="8"/>
  <c r="AD178" i="8"/>
  <c r="X178" i="8"/>
  <c r="W178" i="8"/>
  <c r="Q178" i="8"/>
  <c r="P178" i="8"/>
  <c r="J178" i="8"/>
  <c r="I178" i="8"/>
  <c r="AE177" i="8"/>
  <c r="AD177" i="8"/>
  <c r="X177" i="8"/>
  <c r="W177" i="8"/>
  <c r="Q177" i="8"/>
  <c r="P177" i="8"/>
  <c r="J177" i="8"/>
  <c r="I177" i="8"/>
  <c r="AE176" i="8"/>
  <c r="AD176" i="8"/>
  <c r="X176" i="8"/>
  <c r="W176" i="8"/>
  <c r="Q176" i="8"/>
  <c r="P176" i="8"/>
  <c r="J176" i="8"/>
  <c r="I176" i="8"/>
  <c r="AE173" i="8"/>
  <c r="AD173" i="8"/>
  <c r="X173" i="8"/>
  <c r="W173" i="8"/>
  <c r="Q173" i="8"/>
  <c r="P173" i="8"/>
  <c r="J173" i="8"/>
  <c r="I173" i="8"/>
  <c r="AE172" i="8"/>
  <c r="AD172" i="8"/>
  <c r="X172" i="8"/>
  <c r="W172" i="8"/>
  <c r="Q172" i="8"/>
  <c r="P172" i="8"/>
  <c r="J172" i="8"/>
  <c r="I172" i="8"/>
  <c r="AE171" i="8"/>
  <c r="AD171" i="8"/>
  <c r="X171" i="8"/>
  <c r="W171" i="8"/>
  <c r="Q171" i="8"/>
  <c r="P171" i="8"/>
  <c r="J171" i="8"/>
  <c r="I171" i="8"/>
  <c r="AE170" i="8"/>
  <c r="AD170" i="8"/>
  <c r="X170" i="8"/>
  <c r="W170" i="8"/>
  <c r="Q170" i="8"/>
  <c r="P170" i="8"/>
  <c r="J170" i="8"/>
  <c r="I170" i="8"/>
  <c r="AE169" i="8"/>
  <c r="AD169" i="8"/>
  <c r="X169" i="8"/>
  <c r="W169" i="8"/>
  <c r="Q169" i="8"/>
  <c r="P169" i="8"/>
  <c r="J169" i="8"/>
  <c r="I169" i="8"/>
  <c r="AE168" i="8"/>
  <c r="AD168" i="8"/>
  <c r="X168" i="8"/>
  <c r="W168" i="8"/>
  <c r="Q168" i="8"/>
  <c r="P168" i="8"/>
  <c r="J168" i="8"/>
  <c r="I168" i="8"/>
  <c r="AE167" i="8"/>
  <c r="AD167" i="8"/>
  <c r="X167" i="8"/>
  <c r="W167" i="8"/>
  <c r="Q167" i="8"/>
  <c r="P167" i="8"/>
  <c r="J167" i="8"/>
  <c r="I167" i="8"/>
  <c r="AE166" i="8"/>
  <c r="AD166" i="8"/>
  <c r="X166" i="8"/>
  <c r="W166" i="8"/>
  <c r="Q166" i="8"/>
  <c r="P166" i="8"/>
  <c r="J166" i="8"/>
  <c r="I166" i="8"/>
  <c r="AE165" i="8"/>
  <c r="AD165" i="8"/>
  <c r="X165" i="8"/>
  <c r="W165" i="8"/>
  <c r="Q165" i="8"/>
  <c r="P165" i="8"/>
  <c r="J165" i="8"/>
  <c r="I165" i="8"/>
  <c r="AE164" i="8"/>
  <c r="AD164" i="8"/>
  <c r="X164" i="8"/>
  <c r="W164" i="8"/>
  <c r="Q164" i="8"/>
  <c r="P164" i="8"/>
  <c r="J164" i="8"/>
  <c r="I164" i="8"/>
  <c r="AE163" i="8"/>
  <c r="AD163" i="8"/>
  <c r="X163" i="8"/>
  <c r="W163" i="8"/>
  <c r="Q163" i="8"/>
  <c r="P163" i="8"/>
  <c r="J163" i="8"/>
  <c r="I163" i="8"/>
  <c r="AE162" i="8"/>
  <c r="AD162" i="8"/>
  <c r="X162" i="8"/>
  <c r="W162" i="8"/>
  <c r="Q162" i="8"/>
  <c r="P162" i="8"/>
  <c r="J162" i="8"/>
  <c r="I162" i="8"/>
  <c r="AE161" i="8"/>
  <c r="AD161" i="8"/>
  <c r="X161" i="8"/>
  <c r="W161" i="8"/>
  <c r="Q161" i="8"/>
  <c r="P161" i="8"/>
  <c r="J161" i="8"/>
  <c r="I161" i="8"/>
  <c r="AE159" i="8"/>
  <c r="AD159" i="8"/>
  <c r="X159" i="8"/>
  <c r="W159" i="8"/>
  <c r="Q159" i="8"/>
  <c r="P159" i="8"/>
  <c r="J159" i="8"/>
  <c r="I159" i="8"/>
  <c r="AE158" i="8"/>
  <c r="AD158" i="8"/>
  <c r="X158" i="8"/>
  <c r="W158" i="8"/>
  <c r="Q158" i="8"/>
  <c r="P158" i="8"/>
  <c r="J158" i="8"/>
  <c r="I158" i="8"/>
  <c r="AE157" i="8"/>
  <c r="AD157" i="8"/>
  <c r="X157" i="8"/>
  <c r="W157" i="8"/>
  <c r="Q157" i="8"/>
  <c r="P157" i="8"/>
  <c r="J157" i="8"/>
  <c r="I157" i="8"/>
  <c r="AE156" i="8"/>
  <c r="AD156" i="8"/>
  <c r="X156" i="8"/>
  <c r="W156" i="8"/>
  <c r="Q156" i="8"/>
  <c r="P156" i="8"/>
  <c r="J156" i="8"/>
  <c r="I156" i="8"/>
  <c r="AE155" i="8"/>
  <c r="AD155" i="8"/>
  <c r="X155" i="8"/>
  <c r="W155" i="8"/>
  <c r="Q155" i="8"/>
  <c r="P155" i="8"/>
  <c r="J155" i="8"/>
  <c r="I155" i="8"/>
  <c r="AE154" i="8"/>
  <c r="AD154" i="8"/>
  <c r="X154" i="8"/>
  <c r="W154" i="8"/>
  <c r="Q154" i="8"/>
  <c r="P154" i="8"/>
  <c r="J154" i="8"/>
  <c r="I154" i="8"/>
  <c r="AE153" i="8"/>
  <c r="AD153" i="8"/>
  <c r="X153" i="8"/>
  <c r="W153" i="8"/>
  <c r="Q153" i="8"/>
  <c r="P153" i="8"/>
  <c r="J153" i="8"/>
  <c r="I153" i="8"/>
  <c r="AE152" i="8"/>
  <c r="AD152" i="8"/>
  <c r="X152" i="8"/>
  <c r="W152" i="8"/>
  <c r="Q152" i="8"/>
  <c r="P152" i="8"/>
  <c r="J152" i="8"/>
  <c r="I152" i="8"/>
  <c r="AE151" i="8"/>
  <c r="AD151" i="8"/>
  <c r="X151" i="8"/>
  <c r="W151" i="8"/>
  <c r="Q151" i="8"/>
  <c r="P151" i="8"/>
  <c r="J151" i="8"/>
  <c r="I151" i="8"/>
  <c r="AE150" i="8"/>
  <c r="AD150" i="8"/>
  <c r="X150" i="8"/>
  <c r="W150" i="8"/>
  <c r="Q150" i="8"/>
  <c r="P150" i="8"/>
  <c r="J150" i="8"/>
  <c r="I150" i="8"/>
  <c r="AE149" i="8"/>
  <c r="AD149" i="8"/>
  <c r="X149" i="8"/>
  <c r="W149" i="8"/>
  <c r="Q149" i="8"/>
  <c r="P149" i="8"/>
  <c r="J149" i="8"/>
  <c r="I149" i="8"/>
  <c r="AE148" i="8"/>
  <c r="AD148" i="8"/>
  <c r="X148" i="8"/>
  <c r="W148" i="8"/>
  <c r="Q148" i="8"/>
  <c r="P148" i="8"/>
  <c r="J148" i="8"/>
  <c r="I148" i="8"/>
  <c r="AE147" i="8"/>
  <c r="AD147" i="8"/>
  <c r="X147" i="8"/>
  <c r="W147" i="8"/>
  <c r="Q147" i="8"/>
  <c r="P147" i="8"/>
  <c r="J147" i="8"/>
  <c r="I147" i="8"/>
  <c r="AE146" i="8"/>
  <c r="AD146" i="8"/>
  <c r="X146" i="8"/>
  <c r="W146" i="8"/>
  <c r="Q146" i="8"/>
  <c r="P146" i="8"/>
  <c r="J146" i="8"/>
  <c r="I146" i="8"/>
  <c r="AE145" i="8"/>
  <c r="AD145" i="8"/>
  <c r="X145" i="8"/>
  <c r="W145" i="8"/>
  <c r="Q145" i="8"/>
  <c r="P145" i="8"/>
  <c r="J145" i="8"/>
  <c r="I145" i="8"/>
  <c r="AE144" i="8"/>
  <c r="AD144" i="8"/>
  <c r="X144" i="8"/>
  <c r="W144" i="8"/>
  <c r="Q144" i="8"/>
  <c r="P144" i="8"/>
  <c r="J144" i="8"/>
  <c r="I144" i="8"/>
  <c r="AE140" i="8"/>
  <c r="AD140" i="8"/>
  <c r="X140" i="8"/>
  <c r="W140" i="8"/>
  <c r="Q140" i="8"/>
  <c r="P140" i="8"/>
  <c r="J140" i="8"/>
  <c r="I140" i="8"/>
  <c r="AE139" i="8"/>
  <c r="AD139" i="8"/>
  <c r="X139" i="8"/>
  <c r="W139" i="8"/>
  <c r="Q139" i="8"/>
  <c r="P139" i="8"/>
  <c r="J139" i="8"/>
  <c r="I139" i="8"/>
  <c r="AE138" i="8"/>
  <c r="AD138" i="8"/>
  <c r="X138" i="8"/>
  <c r="W138" i="8"/>
  <c r="Q138" i="8"/>
  <c r="P138" i="8"/>
  <c r="J138" i="8"/>
  <c r="I138" i="8"/>
  <c r="AE137" i="8"/>
  <c r="AD137" i="8"/>
  <c r="X137" i="8"/>
  <c r="W137" i="8"/>
  <c r="Q137" i="8"/>
  <c r="P137" i="8"/>
  <c r="J137" i="8"/>
  <c r="I137" i="8"/>
  <c r="AE136" i="8"/>
  <c r="AD136" i="8"/>
  <c r="X136" i="8"/>
  <c r="W136" i="8"/>
  <c r="Q136" i="8"/>
  <c r="P136" i="8"/>
  <c r="J136" i="8"/>
  <c r="I136" i="8"/>
  <c r="AE135" i="8"/>
  <c r="AD135" i="8"/>
  <c r="X135" i="8"/>
  <c r="W135" i="8"/>
  <c r="Q135" i="8"/>
  <c r="P135" i="8"/>
  <c r="J135" i="8"/>
  <c r="I135" i="8"/>
  <c r="AE134" i="8"/>
  <c r="AD134" i="8"/>
  <c r="X134" i="8"/>
  <c r="W134" i="8"/>
  <c r="Q134" i="8"/>
  <c r="P134" i="8"/>
  <c r="J134" i="8"/>
  <c r="I134" i="8"/>
  <c r="AE133" i="8"/>
  <c r="AD133" i="8"/>
  <c r="X133" i="8"/>
  <c r="W133" i="8"/>
  <c r="Q133" i="8"/>
  <c r="P133" i="8"/>
  <c r="J133" i="8"/>
  <c r="I133" i="8"/>
  <c r="AE132" i="8"/>
  <c r="AD132" i="8"/>
  <c r="X132" i="8"/>
  <c r="W132" i="8"/>
  <c r="Q132" i="8"/>
  <c r="P132" i="8"/>
  <c r="J132" i="8"/>
  <c r="I132" i="8"/>
  <c r="AE130" i="8"/>
  <c r="AD130" i="8"/>
  <c r="X130" i="8"/>
  <c r="W130" i="8"/>
  <c r="Q130" i="8"/>
  <c r="P130" i="8"/>
  <c r="J130" i="8"/>
  <c r="I130" i="8"/>
  <c r="AE129" i="8"/>
  <c r="AD129" i="8"/>
  <c r="X129" i="8"/>
  <c r="W129" i="8"/>
  <c r="Q129" i="8"/>
  <c r="P129" i="8"/>
  <c r="J129" i="8"/>
  <c r="I129" i="8"/>
  <c r="AE128" i="8"/>
  <c r="AD128" i="8"/>
  <c r="X128" i="8"/>
  <c r="W128" i="8"/>
  <c r="Q128" i="8"/>
  <c r="P128" i="8"/>
  <c r="J128" i="8"/>
  <c r="I128" i="8"/>
  <c r="AE127" i="8"/>
  <c r="AD127" i="8"/>
  <c r="X127" i="8"/>
  <c r="W127" i="8"/>
  <c r="Q127" i="8"/>
  <c r="P127" i="8"/>
  <c r="J127" i="8"/>
  <c r="I127" i="8"/>
  <c r="AE126" i="8"/>
  <c r="AD126" i="8"/>
  <c r="X126" i="8"/>
  <c r="W126" i="8"/>
  <c r="Q126" i="8"/>
  <c r="P126" i="8"/>
  <c r="J126" i="8"/>
  <c r="I126" i="8"/>
  <c r="AE125" i="8"/>
  <c r="AD125" i="8"/>
  <c r="X125" i="8"/>
  <c r="W125" i="8"/>
  <c r="Q125" i="8"/>
  <c r="P125" i="8"/>
  <c r="J125" i="8"/>
  <c r="I125" i="8"/>
  <c r="AE124" i="8"/>
  <c r="AD124" i="8"/>
  <c r="X124" i="8"/>
  <c r="W124" i="8"/>
  <c r="Q124" i="8"/>
  <c r="P124" i="8"/>
  <c r="J124" i="8"/>
  <c r="I124" i="8"/>
  <c r="AE123" i="8"/>
  <c r="AD123" i="8"/>
  <c r="X123" i="8"/>
  <c r="W123" i="8"/>
  <c r="Q123" i="8"/>
  <c r="P123" i="8"/>
  <c r="J123" i="8"/>
  <c r="I123" i="8"/>
  <c r="AE122" i="8"/>
  <c r="AD122" i="8"/>
  <c r="X122" i="8"/>
  <c r="W122" i="8"/>
  <c r="Q122" i="8"/>
  <c r="P122" i="8"/>
  <c r="J122" i="8"/>
  <c r="I122" i="8"/>
  <c r="AE120" i="8"/>
  <c r="AD120" i="8"/>
  <c r="X120" i="8"/>
  <c r="W120" i="8"/>
  <c r="Q120" i="8"/>
  <c r="P120" i="8"/>
  <c r="J120" i="8"/>
  <c r="I120" i="8"/>
  <c r="AE119" i="8"/>
  <c r="AD119" i="8"/>
  <c r="X119" i="8"/>
  <c r="W119" i="8"/>
  <c r="Q119" i="8"/>
  <c r="P119" i="8"/>
  <c r="J119" i="8"/>
  <c r="I119" i="8"/>
  <c r="AE118" i="8"/>
  <c r="AD118" i="8"/>
  <c r="X118" i="8"/>
  <c r="W118" i="8"/>
  <c r="Q118" i="8"/>
  <c r="P118" i="8"/>
  <c r="J118" i="8"/>
  <c r="I118" i="8"/>
  <c r="AE117" i="8"/>
  <c r="AD117" i="8"/>
  <c r="X117" i="8"/>
  <c r="W117" i="8"/>
  <c r="Q117" i="8"/>
  <c r="P117" i="8"/>
  <c r="J117" i="8"/>
  <c r="I117" i="8"/>
  <c r="AE116" i="8"/>
  <c r="AD116" i="8"/>
  <c r="X116" i="8"/>
  <c r="W116" i="8"/>
  <c r="Q116" i="8"/>
  <c r="P116" i="8"/>
  <c r="J116" i="8"/>
  <c r="I116" i="8"/>
  <c r="AE115" i="8"/>
  <c r="AD115" i="8"/>
  <c r="X115" i="8"/>
  <c r="W115" i="8"/>
  <c r="Q115" i="8"/>
  <c r="P115" i="8"/>
  <c r="J115" i="8"/>
  <c r="I115" i="8"/>
  <c r="AE114" i="8"/>
  <c r="AD114" i="8"/>
  <c r="X114" i="8"/>
  <c r="W114" i="8"/>
  <c r="Q114" i="8"/>
  <c r="P114" i="8"/>
  <c r="J114" i="8"/>
  <c r="I114" i="8"/>
  <c r="AE113" i="8"/>
  <c r="AD113" i="8"/>
  <c r="X113" i="8"/>
  <c r="W113" i="8"/>
  <c r="Q113" i="8"/>
  <c r="P113" i="8"/>
  <c r="J113" i="8"/>
  <c r="I113" i="8"/>
  <c r="AE112" i="8"/>
  <c r="AD112" i="8"/>
  <c r="X112" i="8"/>
  <c r="W112" i="8"/>
  <c r="Q112" i="8"/>
  <c r="P112" i="8"/>
  <c r="J112" i="8"/>
  <c r="I112" i="8"/>
  <c r="AE111" i="8"/>
  <c r="AD111" i="8"/>
  <c r="X111" i="8"/>
  <c r="W111" i="8"/>
  <c r="Q111" i="8"/>
  <c r="P111" i="8"/>
  <c r="J111" i="8"/>
  <c r="I111" i="8"/>
  <c r="AE110" i="8"/>
  <c r="AD110" i="8"/>
  <c r="X110" i="8"/>
  <c r="W110" i="8"/>
  <c r="Q110" i="8"/>
  <c r="P110" i="8"/>
  <c r="J110" i="8"/>
  <c r="I110" i="8"/>
  <c r="AE108" i="8"/>
  <c r="AD108" i="8"/>
  <c r="X108" i="8"/>
  <c r="W108" i="8"/>
  <c r="Q108" i="8"/>
  <c r="P108" i="8"/>
  <c r="J108" i="8"/>
  <c r="I108" i="8"/>
  <c r="AE107" i="8"/>
  <c r="AD107" i="8"/>
  <c r="X107" i="8"/>
  <c r="W107" i="8"/>
  <c r="Q107" i="8"/>
  <c r="P107" i="8"/>
  <c r="J107" i="8"/>
  <c r="I107" i="8"/>
  <c r="AE106" i="8"/>
  <c r="AD106" i="8"/>
  <c r="X106" i="8"/>
  <c r="W106" i="8"/>
  <c r="Q106" i="8"/>
  <c r="P106" i="8"/>
  <c r="J106" i="8"/>
  <c r="I106" i="8"/>
  <c r="AE105" i="8"/>
  <c r="AD105" i="8"/>
  <c r="X105" i="8"/>
  <c r="W105" i="8"/>
  <c r="Q105" i="8"/>
  <c r="P105" i="8"/>
  <c r="J105" i="8"/>
  <c r="I105" i="8"/>
  <c r="AE104" i="8"/>
  <c r="AD104" i="8"/>
  <c r="X104" i="8"/>
  <c r="W104" i="8"/>
  <c r="Q104" i="8"/>
  <c r="P104" i="8"/>
  <c r="J104" i="8"/>
  <c r="I104" i="8"/>
  <c r="AE103" i="8"/>
  <c r="AD103" i="8"/>
  <c r="X103" i="8"/>
  <c r="W103" i="8"/>
  <c r="Q103" i="8"/>
  <c r="P103" i="8"/>
  <c r="J103" i="8"/>
  <c r="I103" i="8"/>
  <c r="X102" i="8"/>
  <c r="W102" i="8"/>
  <c r="Q102" i="8"/>
  <c r="P102" i="8"/>
  <c r="J102" i="8"/>
  <c r="I102" i="8"/>
  <c r="AE101" i="8"/>
  <c r="AD101" i="8"/>
  <c r="X101" i="8"/>
  <c r="W101" i="8"/>
  <c r="Q101" i="8"/>
  <c r="P101" i="8"/>
  <c r="J101" i="8"/>
  <c r="I101" i="8"/>
  <c r="AE100" i="8"/>
  <c r="AD100" i="8"/>
  <c r="X100" i="8"/>
  <c r="W100" i="8"/>
  <c r="Q100" i="8"/>
  <c r="P100" i="8"/>
  <c r="J100" i="8"/>
  <c r="I100" i="8"/>
  <c r="AE99" i="8"/>
  <c r="AD99" i="8"/>
  <c r="X99" i="8"/>
  <c r="W99" i="8"/>
  <c r="Q99" i="8"/>
  <c r="P99" i="8"/>
  <c r="J99" i="8"/>
  <c r="I99" i="8"/>
  <c r="AE98" i="8"/>
  <c r="AD98" i="8"/>
  <c r="X98" i="8"/>
  <c r="W98" i="8"/>
  <c r="Q98" i="8"/>
  <c r="P98" i="8"/>
  <c r="J98" i="8"/>
  <c r="I98" i="8"/>
  <c r="AE97" i="8"/>
  <c r="AD97" i="8"/>
  <c r="X97" i="8"/>
  <c r="W97" i="8"/>
  <c r="Q97" i="8"/>
  <c r="P97" i="8"/>
  <c r="J97" i="8"/>
  <c r="I97" i="8"/>
  <c r="AE96" i="8"/>
  <c r="AD96" i="8"/>
  <c r="X96" i="8"/>
  <c r="W96" i="8"/>
  <c r="Q96" i="8"/>
  <c r="P96" i="8"/>
  <c r="J96" i="8"/>
  <c r="I96" i="8"/>
  <c r="AE95" i="8"/>
  <c r="AD95" i="8"/>
  <c r="X95" i="8"/>
  <c r="W95" i="8"/>
  <c r="Q95" i="8"/>
  <c r="P95" i="8"/>
  <c r="J95" i="8"/>
  <c r="I95" i="8"/>
  <c r="AE94" i="8"/>
  <c r="AD94" i="8"/>
  <c r="X94" i="8"/>
  <c r="W94" i="8"/>
  <c r="Q94" i="8"/>
  <c r="P94" i="8"/>
  <c r="J94" i="8"/>
  <c r="I94" i="8"/>
  <c r="AE93" i="8"/>
  <c r="AD93" i="8"/>
  <c r="X93" i="8"/>
  <c r="W93" i="8"/>
  <c r="Q93" i="8"/>
  <c r="P93" i="8"/>
  <c r="J93" i="8"/>
  <c r="I93" i="8"/>
  <c r="AE92" i="8"/>
  <c r="AD92" i="8"/>
  <c r="X92" i="8"/>
  <c r="W92" i="8"/>
  <c r="Q92" i="8"/>
  <c r="P92" i="8"/>
  <c r="J92" i="8"/>
  <c r="I92" i="8"/>
  <c r="AE91" i="8"/>
  <c r="AD91" i="8"/>
  <c r="X91" i="8"/>
  <c r="W91" i="8"/>
  <c r="Q91" i="8"/>
  <c r="P91" i="8"/>
  <c r="J91" i="8"/>
  <c r="I91" i="8"/>
  <c r="AE90" i="8"/>
  <c r="AD90" i="8"/>
  <c r="X90" i="8"/>
  <c r="W90" i="8"/>
  <c r="Q90" i="8"/>
  <c r="P90" i="8"/>
  <c r="J90" i="8"/>
  <c r="I90" i="8"/>
  <c r="AE89" i="8"/>
  <c r="AD89" i="8"/>
  <c r="X89" i="8"/>
  <c r="W89" i="8"/>
  <c r="Q89" i="8"/>
  <c r="P89" i="8"/>
  <c r="J89" i="8"/>
  <c r="I89" i="8"/>
  <c r="AE88" i="8"/>
  <c r="AD88" i="8"/>
  <c r="X88" i="8"/>
  <c r="W88" i="8"/>
  <c r="Q88" i="8"/>
  <c r="P88" i="8"/>
  <c r="J88" i="8"/>
  <c r="I88" i="8"/>
  <c r="AE87" i="8"/>
  <c r="AD87" i="8"/>
  <c r="X87" i="8"/>
  <c r="W87" i="8"/>
  <c r="Q87" i="8"/>
  <c r="P87" i="8"/>
  <c r="J87" i="8"/>
  <c r="I87" i="8"/>
  <c r="AE86" i="8"/>
  <c r="AD86" i="8"/>
  <c r="X86" i="8"/>
  <c r="W86" i="8"/>
  <c r="Q86" i="8"/>
  <c r="P86" i="8"/>
  <c r="J86" i="8"/>
  <c r="I86" i="8"/>
  <c r="AE85" i="8"/>
  <c r="AD85" i="8"/>
  <c r="X85" i="8"/>
  <c r="W85" i="8"/>
  <c r="Q85" i="8"/>
  <c r="P85" i="8"/>
  <c r="J85" i="8"/>
  <c r="I85" i="8"/>
  <c r="AE84" i="8"/>
  <c r="AD84" i="8"/>
  <c r="X84" i="8"/>
  <c r="W84" i="8"/>
  <c r="Q84" i="8"/>
  <c r="P84" i="8"/>
  <c r="J84" i="8"/>
  <c r="I84" i="8"/>
  <c r="AE83" i="8"/>
  <c r="AD83" i="8"/>
  <c r="X83" i="8"/>
  <c r="W83" i="8"/>
  <c r="Q83" i="8"/>
  <c r="P83" i="8"/>
  <c r="J83" i="8"/>
  <c r="I83" i="8"/>
  <c r="AE82" i="8"/>
  <c r="AD82" i="8"/>
  <c r="X82" i="8"/>
  <c r="W82" i="8"/>
  <c r="Q82" i="8"/>
  <c r="P82" i="8"/>
  <c r="J82" i="8"/>
  <c r="I82" i="8"/>
  <c r="AE81" i="8"/>
  <c r="AD81" i="8"/>
  <c r="X81" i="8"/>
  <c r="W81" i="8"/>
  <c r="AE80" i="8"/>
  <c r="AD80" i="8"/>
  <c r="X80" i="8"/>
  <c r="W80" i="8"/>
  <c r="AE79" i="8"/>
  <c r="AD79" i="8"/>
  <c r="X79" i="8"/>
  <c r="W79" i="8"/>
  <c r="Q79" i="8"/>
  <c r="P79" i="8"/>
  <c r="J79" i="8"/>
  <c r="I79" i="8"/>
  <c r="AE78" i="8"/>
  <c r="AD78" i="8"/>
  <c r="X78" i="8"/>
  <c r="W78" i="8"/>
  <c r="Q78" i="8"/>
  <c r="P78" i="8"/>
  <c r="J78" i="8"/>
  <c r="I78" i="8"/>
  <c r="AE77" i="8"/>
  <c r="AD77" i="8"/>
  <c r="X77" i="8"/>
  <c r="W77" i="8"/>
  <c r="Q77" i="8"/>
  <c r="P77" i="8"/>
  <c r="J77" i="8"/>
  <c r="I77" i="8"/>
  <c r="AE76" i="8"/>
  <c r="AD76" i="8"/>
  <c r="X76" i="8"/>
  <c r="W76" i="8"/>
  <c r="Q76" i="8"/>
  <c r="P76" i="8"/>
  <c r="J76" i="8"/>
  <c r="I76" i="8"/>
  <c r="AE74" i="8"/>
  <c r="AD74" i="8"/>
  <c r="X74" i="8"/>
  <c r="W74" i="8"/>
  <c r="Q74" i="8"/>
  <c r="P74" i="8"/>
  <c r="J74" i="8"/>
  <c r="I74" i="8"/>
  <c r="AE73" i="8"/>
  <c r="AD73" i="8"/>
  <c r="X73" i="8"/>
  <c r="W73" i="8"/>
  <c r="Q73" i="8"/>
  <c r="P73" i="8"/>
  <c r="J73" i="8"/>
  <c r="I73" i="8"/>
  <c r="AE72" i="8"/>
  <c r="AD72" i="8"/>
  <c r="X72" i="8"/>
  <c r="W72" i="8"/>
  <c r="Q72" i="8"/>
  <c r="P72" i="8"/>
  <c r="J72" i="8"/>
  <c r="I72" i="8"/>
  <c r="AE71" i="8"/>
  <c r="AD71" i="8"/>
  <c r="X71" i="8"/>
  <c r="W71" i="8"/>
  <c r="Q71" i="8"/>
  <c r="P71" i="8"/>
  <c r="J71" i="8"/>
  <c r="I71" i="8"/>
  <c r="AE70" i="8"/>
  <c r="AD70" i="8"/>
  <c r="X70" i="8"/>
  <c r="W70" i="8"/>
  <c r="Q70" i="8"/>
  <c r="P70" i="8"/>
  <c r="J70" i="8"/>
  <c r="I70" i="8"/>
  <c r="AE69" i="8"/>
  <c r="AD69" i="8"/>
  <c r="X69" i="8"/>
  <c r="W69" i="8"/>
  <c r="Q69" i="8"/>
  <c r="P69" i="8"/>
  <c r="J69" i="8"/>
  <c r="I69" i="8"/>
  <c r="AE68" i="8"/>
  <c r="AD68" i="8"/>
  <c r="X68" i="8"/>
  <c r="W68" i="8"/>
  <c r="Q68" i="8"/>
  <c r="P68" i="8"/>
  <c r="J68" i="8"/>
  <c r="I68" i="8"/>
  <c r="AE67" i="8"/>
  <c r="AD67" i="8"/>
  <c r="X67" i="8"/>
  <c r="W67" i="8"/>
  <c r="Q67" i="8"/>
  <c r="P67" i="8"/>
  <c r="J67" i="8"/>
  <c r="I67" i="8"/>
  <c r="AE66" i="8"/>
  <c r="AD66" i="8"/>
  <c r="X66" i="8"/>
  <c r="W66" i="8"/>
  <c r="Q66" i="8"/>
  <c r="P66" i="8"/>
  <c r="J66" i="8"/>
  <c r="I66" i="8"/>
  <c r="AE65" i="8"/>
  <c r="AD65" i="8"/>
  <c r="X65" i="8"/>
  <c r="W65" i="8"/>
  <c r="Q65" i="8"/>
  <c r="P65" i="8"/>
  <c r="J65" i="8"/>
  <c r="I65" i="8"/>
  <c r="AE64" i="8"/>
  <c r="AD64" i="8"/>
  <c r="X64" i="8"/>
  <c r="W64" i="8"/>
  <c r="Q64" i="8"/>
  <c r="P64" i="8"/>
  <c r="J64" i="8"/>
  <c r="I64" i="8"/>
  <c r="AE63" i="8"/>
  <c r="AD63" i="8"/>
  <c r="X63" i="8"/>
  <c r="W63" i="8"/>
  <c r="Q63" i="8"/>
  <c r="P63" i="8"/>
  <c r="J63" i="8"/>
  <c r="I63" i="8"/>
  <c r="AE62" i="8"/>
  <c r="AD62" i="8"/>
  <c r="X62" i="8"/>
  <c r="W62" i="8"/>
  <c r="Q62" i="8"/>
  <c r="P62" i="8"/>
  <c r="J62" i="8"/>
  <c r="I62" i="8"/>
  <c r="AE61" i="8"/>
  <c r="AD61" i="8"/>
  <c r="X61" i="8"/>
  <c r="W61" i="8"/>
  <c r="Q61" i="8"/>
  <c r="P61" i="8"/>
  <c r="J61" i="8"/>
  <c r="I61" i="8"/>
  <c r="AE60" i="8"/>
  <c r="AD60" i="8"/>
  <c r="X60" i="8"/>
  <c r="W60" i="8"/>
  <c r="Q60" i="8"/>
  <c r="P60" i="8"/>
  <c r="J60" i="8"/>
  <c r="I60" i="8"/>
  <c r="AE59" i="8"/>
  <c r="AD59" i="8"/>
  <c r="X59" i="8"/>
  <c r="W59" i="8"/>
  <c r="Q59" i="8"/>
  <c r="P59" i="8"/>
  <c r="J59" i="8"/>
  <c r="I59" i="8"/>
  <c r="AE58" i="8"/>
  <c r="AD58" i="8"/>
  <c r="X58" i="8"/>
  <c r="W58" i="8"/>
  <c r="Q58" i="8"/>
  <c r="P58" i="8"/>
  <c r="J58" i="8"/>
  <c r="I58" i="8"/>
  <c r="AE57" i="8"/>
  <c r="AD57" i="8"/>
  <c r="X57" i="8"/>
  <c r="W57" i="8"/>
  <c r="Q57" i="8"/>
  <c r="P57" i="8"/>
  <c r="J57" i="8"/>
  <c r="I57" i="8"/>
  <c r="AE56" i="8"/>
  <c r="AD56" i="8"/>
  <c r="X56" i="8"/>
  <c r="W56" i="8"/>
  <c r="Q56" i="8"/>
  <c r="P56" i="8"/>
  <c r="J56" i="8"/>
  <c r="I56" i="8"/>
  <c r="AE55" i="8"/>
  <c r="AD55" i="8"/>
  <c r="X55" i="8"/>
  <c r="W55" i="8"/>
  <c r="Q55" i="8"/>
  <c r="P55" i="8"/>
  <c r="J55" i="8"/>
  <c r="I55" i="8"/>
  <c r="AE54" i="8"/>
  <c r="AD54" i="8"/>
  <c r="X54" i="8"/>
  <c r="W54" i="8"/>
  <c r="Q54" i="8"/>
  <c r="P54" i="8"/>
  <c r="J54" i="8"/>
  <c r="I54" i="8"/>
  <c r="AE53" i="8"/>
  <c r="AD53" i="8"/>
  <c r="X53" i="8"/>
  <c r="W53" i="8"/>
  <c r="Q53" i="8"/>
  <c r="P53" i="8"/>
  <c r="J53" i="8"/>
  <c r="I53" i="8"/>
  <c r="AE52" i="8"/>
  <c r="AD52" i="8"/>
  <c r="X52" i="8"/>
  <c r="W52" i="8"/>
  <c r="Q52" i="8"/>
  <c r="P52" i="8"/>
  <c r="J52" i="8"/>
  <c r="I52" i="8"/>
  <c r="AE51" i="8"/>
  <c r="AD51" i="8"/>
  <c r="X51" i="8"/>
  <c r="W51" i="8"/>
  <c r="Q51" i="8"/>
  <c r="P51" i="8"/>
  <c r="J51" i="8"/>
  <c r="I51" i="8"/>
  <c r="AE50" i="8"/>
  <c r="AD50" i="8"/>
  <c r="X50" i="8"/>
  <c r="W50" i="8"/>
  <c r="Q50" i="8"/>
  <c r="P50" i="8"/>
  <c r="J50" i="8"/>
  <c r="I50" i="8"/>
  <c r="AE49" i="8"/>
  <c r="AD49" i="8"/>
  <c r="X49" i="8"/>
  <c r="W49" i="8"/>
  <c r="Q49" i="8"/>
  <c r="P49" i="8"/>
  <c r="J49" i="8"/>
  <c r="I49" i="8"/>
  <c r="AE48" i="8"/>
  <c r="AD48" i="8"/>
  <c r="X48" i="8"/>
  <c r="W48" i="8"/>
  <c r="Q48" i="8"/>
  <c r="P48" i="8"/>
  <c r="J48" i="8"/>
  <c r="I48" i="8"/>
  <c r="AE47" i="8"/>
  <c r="AD47" i="8"/>
  <c r="X47" i="8"/>
  <c r="W47" i="8"/>
  <c r="Q47" i="8"/>
  <c r="P47" i="8"/>
  <c r="J47" i="8"/>
  <c r="I47" i="8"/>
  <c r="AE45" i="8"/>
  <c r="AD45" i="8"/>
  <c r="X45" i="8"/>
  <c r="W45" i="8"/>
  <c r="Q45" i="8"/>
  <c r="P45" i="8"/>
  <c r="J45" i="8"/>
  <c r="I45" i="8"/>
  <c r="AE44" i="8"/>
  <c r="AD44" i="8"/>
  <c r="X44" i="8"/>
  <c r="W44" i="8"/>
  <c r="Q44" i="8"/>
  <c r="P44" i="8"/>
  <c r="J44" i="8"/>
  <c r="I44" i="8"/>
  <c r="X43" i="8"/>
  <c r="W43" i="8"/>
  <c r="Q43" i="8"/>
  <c r="P43" i="8"/>
  <c r="J43" i="8"/>
  <c r="I43" i="8"/>
  <c r="AE42" i="8"/>
  <c r="AD42" i="8"/>
  <c r="X42" i="8"/>
  <c r="W42" i="8"/>
  <c r="Q42" i="8"/>
  <c r="P42" i="8"/>
  <c r="J42" i="8"/>
  <c r="I42" i="8"/>
  <c r="AE41" i="8"/>
  <c r="AD41" i="8"/>
  <c r="X41" i="8"/>
  <c r="W41" i="8"/>
  <c r="Q41" i="8"/>
  <c r="P41" i="8"/>
  <c r="J41" i="8"/>
  <c r="I41" i="8"/>
  <c r="AE40" i="8"/>
  <c r="AD40" i="8"/>
  <c r="X40" i="8"/>
  <c r="W40" i="8"/>
  <c r="Q40" i="8"/>
  <c r="P40" i="8"/>
  <c r="J40" i="8"/>
  <c r="I40" i="8"/>
  <c r="AE39" i="8"/>
  <c r="AD39" i="8"/>
  <c r="AE38" i="8"/>
  <c r="AD38" i="8"/>
  <c r="X38" i="8"/>
  <c r="W38" i="8"/>
  <c r="Q38" i="8"/>
  <c r="P38" i="8"/>
  <c r="J38" i="8"/>
  <c r="I38" i="8"/>
  <c r="AE37" i="8"/>
  <c r="AD37" i="8"/>
  <c r="X37" i="8"/>
  <c r="W37" i="8"/>
  <c r="Q37" i="8"/>
  <c r="P37" i="8"/>
  <c r="J37" i="8"/>
  <c r="I37" i="8"/>
  <c r="AE36" i="8"/>
  <c r="AD36" i="8"/>
  <c r="X36" i="8"/>
  <c r="W36" i="8"/>
  <c r="Q36" i="8"/>
  <c r="P36" i="8"/>
  <c r="J36" i="8"/>
  <c r="I36" i="8"/>
  <c r="AE35" i="8"/>
  <c r="AD35" i="8"/>
  <c r="X35" i="8"/>
  <c r="W35" i="8"/>
  <c r="Q35" i="8"/>
  <c r="P35" i="8"/>
  <c r="J35" i="8"/>
  <c r="I35" i="8"/>
  <c r="AE34" i="8"/>
  <c r="AD34" i="8"/>
  <c r="X34" i="8"/>
  <c r="W34" i="8"/>
  <c r="Q34" i="8"/>
  <c r="P34" i="8"/>
  <c r="J34" i="8"/>
  <c r="I34" i="8"/>
  <c r="AE32" i="8"/>
  <c r="AD32" i="8"/>
  <c r="X32" i="8"/>
  <c r="W32" i="8"/>
  <c r="Q32" i="8"/>
  <c r="P32" i="8"/>
  <c r="AE31" i="8"/>
  <c r="AD31" i="8"/>
  <c r="X31" i="8"/>
  <c r="W31" i="8"/>
  <c r="Q31" i="8"/>
  <c r="P31" i="8"/>
  <c r="J31" i="8"/>
  <c r="I31" i="8"/>
  <c r="AE30" i="8"/>
  <c r="AD30" i="8"/>
  <c r="X30" i="8"/>
  <c r="W30" i="8"/>
  <c r="Q30" i="8"/>
  <c r="P30" i="8"/>
  <c r="J30" i="8"/>
  <c r="I30" i="8"/>
  <c r="AE29" i="8"/>
  <c r="AD29" i="8"/>
  <c r="X29" i="8"/>
  <c r="W29" i="8"/>
  <c r="Q29" i="8"/>
  <c r="P29" i="8"/>
  <c r="J29" i="8"/>
  <c r="I29" i="8"/>
  <c r="AE28" i="8"/>
  <c r="AD28" i="8"/>
  <c r="X28" i="8"/>
  <c r="W28" i="8"/>
  <c r="Q28" i="8"/>
  <c r="P28" i="8"/>
  <c r="J28" i="8"/>
  <c r="I28" i="8"/>
  <c r="AE27" i="8"/>
  <c r="AD27" i="8"/>
  <c r="X27" i="8"/>
  <c r="W27" i="8"/>
  <c r="Q27" i="8"/>
  <c r="P27" i="8"/>
  <c r="J27" i="8"/>
  <c r="I27" i="8"/>
  <c r="AE26" i="8"/>
  <c r="AD26" i="8"/>
  <c r="X26" i="8"/>
  <c r="W26" i="8"/>
  <c r="Q26" i="8"/>
  <c r="P26" i="8"/>
  <c r="J26" i="8"/>
  <c r="I26" i="8"/>
  <c r="AE25" i="8"/>
  <c r="AD25" i="8"/>
  <c r="X25" i="8"/>
  <c r="W25" i="8"/>
  <c r="Q25" i="8"/>
  <c r="P25" i="8"/>
  <c r="J25" i="8"/>
  <c r="I25" i="8"/>
  <c r="AE24" i="8"/>
  <c r="AD24" i="8"/>
  <c r="X24" i="8"/>
  <c r="W24" i="8"/>
  <c r="Q24" i="8"/>
  <c r="P24" i="8"/>
  <c r="J24" i="8"/>
  <c r="I24" i="8"/>
  <c r="AE23" i="8"/>
  <c r="AD23" i="8"/>
  <c r="X23" i="8"/>
  <c r="W23" i="8"/>
  <c r="Q23" i="8"/>
  <c r="P23" i="8"/>
  <c r="J23" i="8"/>
  <c r="I23" i="8"/>
  <c r="AE22" i="8"/>
  <c r="AD22" i="8"/>
  <c r="X22" i="8"/>
  <c r="W22" i="8"/>
  <c r="Q22" i="8"/>
  <c r="P22" i="8"/>
  <c r="J22" i="8"/>
  <c r="I22" i="8"/>
  <c r="AE21" i="8"/>
  <c r="AD21" i="8"/>
  <c r="X21" i="8"/>
  <c r="W21" i="8"/>
  <c r="Q21" i="8"/>
  <c r="P21" i="8"/>
  <c r="J21" i="8"/>
  <c r="I21" i="8"/>
  <c r="AE20" i="8"/>
  <c r="AD20" i="8"/>
  <c r="X20" i="8"/>
  <c r="W20" i="8"/>
  <c r="Q20" i="8"/>
  <c r="P20" i="8"/>
  <c r="J20" i="8"/>
  <c r="I20" i="8"/>
  <c r="AE19" i="8"/>
  <c r="AD19" i="8"/>
  <c r="X19" i="8"/>
  <c r="W19" i="8"/>
  <c r="Q19" i="8"/>
  <c r="P19" i="8"/>
  <c r="J19" i="8"/>
  <c r="I19" i="8"/>
  <c r="AE18" i="8"/>
  <c r="AD18" i="8"/>
  <c r="X18" i="8"/>
  <c r="W18" i="8"/>
  <c r="Q18" i="8"/>
  <c r="P18" i="8"/>
  <c r="J18" i="8"/>
  <c r="I18" i="8"/>
  <c r="AE17" i="8"/>
  <c r="AD17" i="8"/>
  <c r="X17" i="8"/>
  <c r="W17" i="8"/>
  <c r="Q17" i="8"/>
  <c r="P17" i="8"/>
  <c r="J17" i="8"/>
  <c r="I17" i="8"/>
  <c r="AE16" i="8"/>
  <c r="AD16" i="8"/>
  <c r="X16" i="8"/>
  <c r="W16" i="8"/>
  <c r="Q16" i="8"/>
  <c r="P16" i="8"/>
  <c r="J16" i="8"/>
  <c r="I16" i="8"/>
  <c r="AE15" i="8"/>
  <c r="AD15" i="8"/>
  <c r="X15" i="8"/>
  <c r="W15" i="8"/>
  <c r="Q15" i="8"/>
  <c r="P15" i="8"/>
  <c r="J15" i="8"/>
  <c r="I15" i="8"/>
  <c r="AE14" i="8"/>
  <c r="AD14" i="8"/>
  <c r="X14" i="8"/>
  <c r="W14" i="8"/>
  <c r="Q14" i="8"/>
  <c r="P14" i="8"/>
  <c r="J14" i="8"/>
  <c r="I14" i="8"/>
  <c r="AE13" i="8"/>
  <c r="AD13" i="8"/>
  <c r="X13" i="8"/>
  <c r="W13" i="8"/>
  <c r="Q13" i="8"/>
  <c r="P13" i="8"/>
  <c r="J13" i="8"/>
  <c r="I13" i="8"/>
  <c r="AE12" i="8"/>
  <c r="AD12" i="8"/>
  <c r="X12" i="8"/>
  <c r="W12" i="8"/>
  <c r="Q12" i="8"/>
  <c r="P12" i="8"/>
  <c r="J12" i="8"/>
  <c r="I12" i="8"/>
  <c r="AE11" i="8"/>
  <c r="AD11" i="8"/>
  <c r="X11" i="8"/>
  <c r="W11" i="8"/>
  <c r="Q11" i="8"/>
  <c r="P11" i="8"/>
  <c r="J11" i="8"/>
  <c r="I11" i="8"/>
  <c r="AE10" i="8"/>
  <c r="AD10" i="8"/>
  <c r="X10" i="8"/>
  <c r="W10" i="8"/>
  <c r="Q10" i="8"/>
  <c r="P10" i="8"/>
  <c r="J10" i="8"/>
  <c r="I10" i="8"/>
  <c r="AE9" i="8"/>
  <c r="AD9" i="8"/>
  <c r="X9" i="8"/>
  <c r="W9" i="8"/>
  <c r="Q9" i="8"/>
  <c r="P9" i="8"/>
  <c r="J9" i="8"/>
  <c r="I9" i="8"/>
  <c r="AE8" i="8"/>
  <c r="AD8" i="8"/>
  <c r="X8" i="8"/>
  <c r="W8" i="8"/>
  <c r="Q8" i="8"/>
  <c r="P8" i="8"/>
  <c r="J8" i="8"/>
  <c r="I8" i="8"/>
  <c r="AE7" i="8"/>
  <c r="AD7" i="8"/>
  <c r="X7" i="8"/>
  <c r="W7" i="8"/>
  <c r="Q7" i="8"/>
  <c r="P7" i="8"/>
  <c r="J7" i="8"/>
  <c r="I7" i="8"/>
  <c r="AE6" i="8"/>
  <c r="AD6" i="8"/>
  <c r="X6" i="8"/>
  <c r="W6" i="8"/>
  <c r="Q6" i="8"/>
  <c r="P6" i="8"/>
  <c r="J6" i="8"/>
  <c r="I6" i="8"/>
  <c r="AE5" i="8"/>
  <c r="AD5" i="8"/>
  <c r="X5" i="8"/>
  <c r="W5" i="8"/>
  <c r="Q5" i="8"/>
  <c r="P5" i="8"/>
  <c r="J5" i="8"/>
  <c r="I5" i="8"/>
  <c r="C17" i="6"/>
  <c r="AI38" i="6"/>
  <c r="P17" i="6"/>
  <c r="P16" i="6"/>
  <c r="P15" i="6"/>
  <c r="P14" i="6"/>
  <c r="P13" i="6"/>
  <c r="P12" i="6"/>
  <c r="P11" i="6"/>
  <c r="P10" i="6"/>
  <c r="AK37" i="6" s="1"/>
  <c r="P9" i="6"/>
  <c r="AK36" i="6" s="1"/>
  <c r="P8" i="6"/>
  <c r="AK35" i="6" s="1"/>
  <c r="P7" i="6"/>
  <c r="AK34" i="6" s="1"/>
  <c r="P6" i="6"/>
  <c r="AK33" i="6" s="1"/>
  <c r="P5" i="6"/>
  <c r="AK32" i="6" s="1"/>
  <c r="O17" i="6"/>
  <c r="O16" i="6"/>
  <c r="O15" i="6"/>
  <c r="O14" i="6"/>
  <c r="O13" i="6"/>
  <c r="O12" i="6"/>
  <c r="O11" i="6"/>
  <c r="O10" i="6"/>
  <c r="AJ37" i="6" s="1"/>
  <c r="O9" i="6"/>
  <c r="AJ36" i="6" s="1"/>
  <c r="O8" i="6"/>
  <c r="AJ35" i="6" s="1"/>
  <c r="O7" i="6"/>
  <c r="AJ34" i="6" s="1"/>
  <c r="O6" i="6"/>
  <c r="AJ33" i="6" s="1"/>
  <c r="O5" i="6"/>
  <c r="AJ32" i="6" s="1"/>
  <c r="O4" i="6"/>
  <c r="AJ31" i="6" s="1"/>
  <c r="D132" i="5"/>
  <c r="C132" i="5"/>
  <c r="B132" i="5"/>
  <c r="P4" i="6" s="1"/>
  <c r="AK31" i="6" s="1"/>
  <c r="O48" i="7"/>
  <c r="N48" i="7"/>
  <c r="M48" i="7"/>
  <c r="J48" i="7"/>
  <c r="G48" i="7"/>
  <c r="E48" i="7"/>
  <c r="AG87" i="7" s="1"/>
  <c r="O47" i="7"/>
  <c r="N47" i="7"/>
  <c r="M47" i="7"/>
  <c r="J47" i="7"/>
  <c r="G47" i="7"/>
  <c r="E47" i="7"/>
  <c r="AG86" i="7" s="1"/>
  <c r="O45" i="7"/>
  <c r="N45" i="7"/>
  <c r="M45" i="7"/>
  <c r="J45" i="7"/>
  <c r="G45" i="7"/>
  <c r="E45" i="7"/>
  <c r="AF87" i="7" s="1"/>
  <c r="O44" i="7"/>
  <c r="N44" i="7"/>
  <c r="M44" i="7"/>
  <c r="J44" i="7"/>
  <c r="G44" i="7"/>
  <c r="E44" i="7"/>
  <c r="AF86" i="7" s="1"/>
  <c r="O42" i="7"/>
  <c r="N42" i="7"/>
  <c r="M42" i="7"/>
  <c r="J42" i="7"/>
  <c r="G42" i="7"/>
  <c r="E42" i="7"/>
  <c r="AE87" i="7" s="1"/>
  <c r="O41" i="7"/>
  <c r="N41" i="7"/>
  <c r="M41" i="7"/>
  <c r="J41" i="7"/>
  <c r="G41" i="7"/>
  <c r="E41" i="7"/>
  <c r="AE86" i="7" s="1"/>
  <c r="O39" i="7"/>
  <c r="N39" i="7"/>
  <c r="M39" i="7"/>
  <c r="J39" i="7"/>
  <c r="G39" i="7"/>
  <c r="E39" i="7"/>
  <c r="AD87" i="7" s="1"/>
  <c r="O38" i="7"/>
  <c r="N38" i="7"/>
  <c r="M38" i="7"/>
  <c r="J38" i="7"/>
  <c r="G38" i="7"/>
  <c r="E38" i="7"/>
  <c r="AD86" i="7" s="1"/>
  <c r="O36" i="7"/>
  <c r="N36" i="7"/>
  <c r="M36" i="7"/>
  <c r="J36" i="7"/>
  <c r="G36" i="7"/>
  <c r="E36" i="7"/>
  <c r="O35" i="7"/>
  <c r="N35" i="7"/>
  <c r="M35" i="7"/>
  <c r="J35" i="7"/>
  <c r="G35" i="7"/>
  <c r="E35" i="7"/>
  <c r="O33" i="7"/>
  <c r="N33" i="7"/>
  <c r="M33" i="7"/>
  <c r="J33" i="7"/>
  <c r="G33" i="7"/>
  <c r="E33" i="7"/>
  <c r="O32" i="7"/>
  <c r="N32" i="7"/>
  <c r="M32" i="7"/>
  <c r="J32" i="7"/>
  <c r="G32" i="7"/>
  <c r="E32" i="7"/>
  <c r="O24" i="7"/>
  <c r="M24" i="7"/>
  <c r="J24" i="7"/>
  <c r="G24" i="7"/>
  <c r="E24" i="7"/>
  <c r="O23" i="7"/>
  <c r="M23" i="7"/>
  <c r="J23" i="7"/>
  <c r="G23" i="7"/>
  <c r="E23" i="7"/>
  <c r="O18" i="7"/>
  <c r="M18" i="7"/>
  <c r="J18" i="7"/>
  <c r="G18" i="7"/>
  <c r="E18" i="7"/>
  <c r="O17" i="7"/>
  <c r="M17" i="7"/>
  <c r="J17" i="7"/>
  <c r="G17" i="7"/>
  <c r="E17" i="7"/>
  <c r="O15" i="7"/>
  <c r="O14" i="7"/>
  <c r="O12" i="7"/>
  <c r="O11" i="7"/>
  <c r="O9" i="7"/>
  <c r="O8" i="7"/>
  <c r="AI37" i="6"/>
  <c r="AI36" i="6"/>
  <c r="AI35" i="6"/>
  <c r="AI34" i="6"/>
  <c r="AA34" i="6"/>
  <c r="Y34" i="6"/>
  <c r="AI33" i="6"/>
  <c r="AA33" i="6"/>
  <c r="Y33" i="6"/>
  <c r="AI32" i="6"/>
  <c r="AA32" i="6"/>
  <c r="Y32" i="6"/>
  <c r="AI31" i="6"/>
  <c r="AA31" i="6"/>
  <c r="Y31" i="6"/>
  <c r="X34" i="6"/>
  <c r="X33" i="6"/>
  <c r="X32" i="6"/>
  <c r="X31" i="6"/>
  <c r="R126" i="5"/>
  <c r="Q126" i="5"/>
  <c r="P63" i="4"/>
  <c r="O63" i="4"/>
  <c r="P51" i="4"/>
  <c r="O51" i="4"/>
  <c r="P27" i="4"/>
  <c r="P15" i="4"/>
  <c r="O27" i="4"/>
  <c r="O15" i="4"/>
  <c r="P73" i="4"/>
  <c r="P72" i="4"/>
  <c r="P71" i="4"/>
  <c r="P70" i="4"/>
  <c r="P69" i="4"/>
  <c r="P68" i="4"/>
  <c r="P67" i="4"/>
  <c r="P66" i="4"/>
  <c r="P65" i="4"/>
  <c r="P37" i="4"/>
  <c r="P36" i="4"/>
  <c r="P35" i="4"/>
  <c r="P34" i="4"/>
  <c r="P33" i="4"/>
  <c r="P32" i="4"/>
  <c r="P31" i="4"/>
  <c r="P30" i="4"/>
  <c r="P29" i="4"/>
  <c r="S38" i="5"/>
  <c r="V124" i="5"/>
  <c r="V123" i="5"/>
  <c r="V122" i="5"/>
  <c r="V121" i="5"/>
  <c r="V120" i="5"/>
  <c r="V119" i="5"/>
  <c r="V118" i="5"/>
  <c r="V117" i="5"/>
  <c r="V116" i="5"/>
  <c r="V115" i="5"/>
  <c r="V114" i="5"/>
  <c r="V113" i="5"/>
  <c r="V112" i="5"/>
  <c r="V111" i="5"/>
  <c r="V110" i="5"/>
  <c r="V109" i="5"/>
  <c r="V108" i="5"/>
  <c r="V107" i="5"/>
  <c r="V106" i="5"/>
  <c r="V105" i="5"/>
  <c r="V104" i="5"/>
  <c r="V103" i="5"/>
  <c r="V102" i="5"/>
  <c r="V101" i="5"/>
  <c r="V100" i="5"/>
  <c r="V99" i="5"/>
  <c r="V98" i="5"/>
  <c r="V97" i="5"/>
  <c r="V96" i="5"/>
  <c r="V95" i="5"/>
  <c r="V94" i="5"/>
  <c r="V93" i="5"/>
  <c r="V92" i="5"/>
  <c r="V91" i="5"/>
  <c r="V90" i="5"/>
  <c r="V89" i="5"/>
  <c r="V88" i="5"/>
  <c r="V87" i="5"/>
  <c r="V86" i="5"/>
  <c r="V85" i="5"/>
  <c r="V84" i="5"/>
  <c r="V83" i="5"/>
  <c r="V82" i="5"/>
  <c r="V81" i="5"/>
  <c r="V80" i="5"/>
  <c r="V79" i="5"/>
  <c r="V78" i="5"/>
  <c r="U75" i="5"/>
  <c r="U74" i="5"/>
  <c r="U73" i="5"/>
  <c r="U72" i="5"/>
  <c r="U71" i="5"/>
  <c r="U70" i="5"/>
  <c r="U69" i="5"/>
  <c r="U68" i="5"/>
  <c r="U67" i="5"/>
  <c r="U66" i="5"/>
  <c r="U65" i="5"/>
  <c r="F54" i="5"/>
  <c r="G53" i="5"/>
  <c r="C53" i="5"/>
  <c r="B53" i="5"/>
  <c r="G52" i="5"/>
  <c r="F52" i="5"/>
  <c r="C52" i="5"/>
  <c r="B52" i="5"/>
  <c r="G51" i="5"/>
  <c r="F51" i="5"/>
  <c r="C51" i="5"/>
  <c r="B51" i="5"/>
  <c r="G50" i="5"/>
  <c r="F50" i="5"/>
  <c r="C50" i="5"/>
  <c r="B50" i="5"/>
  <c r="G49" i="5"/>
  <c r="F49" i="5"/>
  <c r="C49" i="5"/>
  <c r="B49" i="5"/>
  <c r="G48" i="5"/>
  <c r="F48" i="5"/>
  <c r="C48" i="5"/>
  <c r="B48" i="5"/>
  <c r="G47" i="5"/>
  <c r="F47" i="5"/>
  <c r="C47" i="5"/>
  <c r="B47" i="5"/>
  <c r="G46" i="5"/>
  <c r="F46" i="5"/>
  <c r="C46" i="5"/>
  <c r="B46" i="5"/>
  <c r="G45" i="5"/>
  <c r="F45" i="5"/>
  <c r="C45" i="5"/>
  <c r="B45" i="5"/>
  <c r="G44" i="5"/>
  <c r="F44" i="5"/>
  <c r="C44" i="5"/>
  <c r="B44" i="5"/>
  <c r="G43" i="5"/>
  <c r="F43" i="5"/>
  <c r="C43" i="5"/>
  <c r="B43" i="5"/>
  <c r="G42" i="5"/>
  <c r="F42" i="5"/>
  <c r="C42" i="5"/>
  <c r="B42" i="5"/>
  <c r="G19" i="5"/>
  <c r="F19" i="5"/>
  <c r="E19" i="5"/>
  <c r="D19" i="5"/>
  <c r="C19" i="5"/>
  <c r="B19" i="5"/>
  <c r="W15" i="5"/>
  <c r="V15" i="5"/>
  <c r="U15" i="5"/>
  <c r="T15" i="5"/>
  <c r="S15" i="5"/>
  <c r="R15" i="5"/>
  <c r="W3" i="5"/>
  <c r="V3" i="5"/>
  <c r="U3" i="5"/>
  <c r="T3" i="5"/>
  <c r="S3" i="5"/>
  <c r="R3" i="5"/>
  <c r="N75" i="4"/>
  <c r="M75" i="4"/>
  <c r="J75" i="4"/>
  <c r="I75" i="4"/>
  <c r="H75" i="4"/>
  <c r="G75" i="4"/>
  <c r="O73" i="4"/>
  <c r="N73" i="4"/>
  <c r="M73" i="4"/>
  <c r="J73" i="4"/>
  <c r="I73" i="4"/>
  <c r="H73" i="4"/>
  <c r="G73" i="4"/>
  <c r="O72" i="4"/>
  <c r="N72" i="4"/>
  <c r="M72" i="4"/>
  <c r="J72" i="4"/>
  <c r="I72" i="4"/>
  <c r="H72" i="4"/>
  <c r="G72" i="4"/>
  <c r="O71" i="4"/>
  <c r="N71" i="4"/>
  <c r="M71" i="4"/>
  <c r="J71" i="4"/>
  <c r="I71" i="4"/>
  <c r="H71" i="4"/>
  <c r="G71" i="4"/>
  <c r="O70" i="4"/>
  <c r="N70" i="4"/>
  <c r="M70" i="4"/>
  <c r="J70" i="4"/>
  <c r="I70" i="4"/>
  <c r="H70" i="4"/>
  <c r="G70" i="4"/>
  <c r="O69" i="4"/>
  <c r="N69" i="4"/>
  <c r="M69" i="4"/>
  <c r="J69" i="4"/>
  <c r="I69" i="4"/>
  <c r="H69" i="4"/>
  <c r="G69" i="4"/>
  <c r="O68" i="4"/>
  <c r="N68" i="4"/>
  <c r="M68" i="4"/>
  <c r="J68" i="4"/>
  <c r="I68" i="4"/>
  <c r="H68" i="4"/>
  <c r="G68" i="4"/>
  <c r="O67" i="4"/>
  <c r="N67" i="4"/>
  <c r="M67" i="4"/>
  <c r="J67" i="4"/>
  <c r="I67" i="4"/>
  <c r="H67" i="4"/>
  <c r="G67" i="4"/>
  <c r="O66" i="4"/>
  <c r="N66" i="4"/>
  <c r="M66" i="4"/>
  <c r="J66" i="4"/>
  <c r="I66" i="4"/>
  <c r="H66" i="4"/>
  <c r="G66" i="4"/>
  <c r="O65" i="4"/>
  <c r="N65" i="4"/>
  <c r="M65" i="4"/>
  <c r="J65" i="4"/>
  <c r="I65" i="4"/>
  <c r="H65" i="4"/>
  <c r="G65" i="4"/>
  <c r="N39" i="4"/>
  <c r="M39" i="4"/>
  <c r="H39" i="4"/>
  <c r="O37" i="4"/>
  <c r="N37" i="4"/>
  <c r="M37" i="4"/>
  <c r="H37" i="4"/>
  <c r="O36" i="4"/>
  <c r="N36" i="4"/>
  <c r="M36" i="4"/>
  <c r="H36" i="4"/>
  <c r="O35" i="4"/>
  <c r="N35" i="4"/>
  <c r="M35" i="4"/>
  <c r="H35" i="4"/>
  <c r="O34" i="4"/>
  <c r="N34" i="4"/>
  <c r="M34" i="4"/>
  <c r="O33" i="4"/>
  <c r="N33" i="4"/>
  <c r="M33" i="4"/>
  <c r="O32" i="4"/>
  <c r="N32" i="4"/>
  <c r="M32" i="4"/>
  <c r="H32" i="4"/>
  <c r="O31" i="4"/>
  <c r="N31" i="4"/>
  <c r="M31" i="4"/>
  <c r="H31" i="4"/>
  <c r="O30" i="4"/>
  <c r="N30" i="4"/>
  <c r="M30" i="4"/>
  <c r="H30" i="4"/>
  <c r="O29" i="4"/>
  <c r="N29" i="4"/>
  <c r="M29" i="4"/>
  <c r="H29" i="4"/>
  <c r="N511" i="3"/>
  <c r="M511" i="3"/>
  <c r="J511" i="3"/>
  <c r="I511" i="3"/>
  <c r="F511" i="3"/>
  <c r="N510" i="3"/>
  <c r="M510" i="3"/>
  <c r="J510" i="3"/>
  <c r="I510" i="3"/>
  <c r="F510" i="3"/>
  <c r="N508" i="3"/>
  <c r="M508" i="3"/>
  <c r="J508" i="3"/>
  <c r="I508" i="3"/>
  <c r="F508" i="3"/>
  <c r="N507" i="3"/>
  <c r="M507" i="3"/>
  <c r="J507" i="3"/>
  <c r="I507" i="3"/>
  <c r="F507" i="3"/>
  <c r="N506" i="3"/>
  <c r="M506" i="3"/>
  <c r="J506" i="3"/>
  <c r="I506" i="3"/>
  <c r="F506" i="3"/>
  <c r="N310" i="3"/>
  <c r="M310" i="3"/>
  <c r="J310" i="3"/>
  <c r="I310" i="3"/>
  <c r="F310" i="3"/>
  <c r="N309" i="3"/>
  <c r="M309" i="3"/>
  <c r="J309" i="3"/>
  <c r="I309" i="3"/>
  <c r="F309" i="3"/>
  <c r="N308" i="3"/>
  <c r="M308" i="3"/>
  <c r="J308" i="3"/>
  <c r="I308" i="3"/>
  <c r="F308" i="3"/>
  <c r="N307" i="3"/>
  <c r="M307" i="3"/>
  <c r="J307" i="3"/>
  <c r="I307" i="3"/>
  <c r="F307" i="3"/>
  <c r="N306" i="3"/>
  <c r="M306" i="3"/>
  <c r="J306" i="3"/>
  <c r="I306" i="3"/>
  <c r="F306" i="3"/>
  <c r="N305" i="3"/>
  <c r="M305" i="3"/>
  <c r="J305" i="3"/>
  <c r="I305" i="3"/>
  <c r="F305" i="3"/>
  <c r="N304" i="3"/>
  <c r="M304" i="3"/>
  <c r="J304" i="3"/>
  <c r="I304" i="3"/>
  <c r="F304" i="3"/>
  <c r="Q81" i="2"/>
  <c r="Q80" i="2"/>
  <c r="R81" i="2"/>
  <c r="N113" i="2" s="1"/>
  <c r="R80" i="2"/>
  <c r="L112" i="2" s="1"/>
  <c r="O29" i="2"/>
  <c r="P8" i="2"/>
  <c r="P18" i="2" s="1"/>
  <c r="P7" i="2"/>
  <c r="P5" i="2"/>
  <c r="P15" i="2" s="1"/>
  <c r="P6" i="2"/>
  <c r="O8" i="2"/>
  <c r="O18" i="2" s="1"/>
  <c r="O7" i="2"/>
  <c r="O6" i="2"/>
  <c r="O5" i="2"/>
  <c r="O15" i="2" s="1"/>
  <c r="N107" i="3"/>
  <c r="M107" i="3"/>
  <c r="J107" i="3"/>
  <c r="I107" i="3"/>
  <c r="F107" i="3"/>
  <c r="N106" i="3"/>
  <c r="M106" i="3"/>
  <c r="J106" i="3"/>
  <c r="I106" i="3"/>
  <c r="F106" i="3"/>
  <c r="N105" i="3"/>
  <c r="M105" i="3"/>
  <c r="J105" i="3"/>
  <c r="I105" i="3"/>
  <c r="F105" i="3"/>
  <c r="N104" i="3"/>
  <c r="M104" i="3"/>
  <c r="J104" i="3"/>
  <c r="I104" i="3"/>
  <c r="F104" i="3"/>
  <c r="N103" i="3"/>
  <c r="M103" i="3"/>
  <c r="J103" i="3"/>
  <c r="I103" i="3"/>
  <c r="F103" i="3"/>
  <c r="N102" i="3"/>
  <c r="M102" i="3"/>
  <c r="J102" i="3"/>
  <c r="I102" i="3"/>
  <c r="F102" i="3"/>
  <c r="N101" i="3"/>
  <c r="M101" i="3"/>
  <c r="J101" i="3"/>
  <c r="I101" i="3"/>
  <c r="F101" i="3"/>
  <c r="N503" i="3"/>
  <c r="M503" i="3"/>
  <c r="J503" i="3"/>
  <c r="I503" i="3"/>
  <c r="F503" i="3"/>
  <c r="N502" i="3"/>
  <c r="M502" i="3"/>
  <c r="J502" i="3"/>
  <c r="I502" i="3"/>
  <c r="F502" i="3"/>
  <c r="N500" i="3"/>
  <c r="M500" i="3"/>
  <c r="J500" i="3"/>
  <c r="I500" i="3"/>
  <c r="F500" i="3"/>
  <c r="N499" i="3"/>
  <c r="M499" i="3"/>
  <c r="J499" i="3"/>
  <c r="I499" i="3"/>
  <c r="F499" i="3"/>
  <c r="N498" i="3"/>
  <c r="M498" i="3"/>
  <c r="J498" i="3"/>
  <c r="I498" i="3"/>
  <c r="F498" i="3"/>
  <c r="N496" i="3"/>
  <c r="M496" i="3"/>
  <c r="J496" i="3"/>
  <c r="I496" i="3"/>
  <c r="F496" i="3"/>
  <c r="N495" i="3"/>
  <c r="M495" i="3"/>
  <c r="J495" i="3"/>
  <c r="I495" i="3"/>
  <c r="F495" i="3"/>
  <c r="N494" i="3"/>
  <c r="M494" i="3"/>
  <c r="J494" i="3"/>
  <c r="I494" i="3"/>
  <c r="F494" i="3"/>
  <c r="N492" i="3"/>
  <c r="M492" i="3"/>
  <c r="J492" i="3"/>
  <c r="I492" i="3"/>
  <c r="F492" i="3"/>
  <c r="N491" i="3"/>
  <c r="M491" i="3"/>
  <c r="J491" i="3"/>
  <c r="I491" i="3"/>
  <c r="F491" i="3"/>
  <c r="N490" i="3"/>
  <c r="M490" i="3"/>
  <c r="J490" i="3"/>
  <c r="I490" i="3"/>
  <c r="F490" i="3"/>
  <c r="N488" i="3"/>
  <c r="M488" i="3"/>
  <c r="J488" i="3"/>
  <c r="I488" i="3"/>
  <c r="F488" i="3"/>
  <c r="N487" i="3"/>
  <c r="M487" i="3"/>
  <c r="J487" i="3"/>
  <c r="I487" i="3"/>
  <c r="F487" i="3"/>
  <c r="N486" i="3"/>
  <c r="M486" i="3"/>
  <c r="J486" i="3"/>
  <c r="I486" i="3"/>
  <c r="F486" i="3"/>
  <c r="N484" i="3"/>
  <c r="M484" i="3"/>
  <c r="J484" i="3"/>
  <c r="I484" i="3"/>
  <c r="F484" i="3"/>
  <c r="N483" i="3"/>
  <c r="M483" i="3"/>
  <c r="J483" i="3"/>
  <c r="I483" i="3"/>
  <c r="F483" i="3"/>
  <c r="N482" i="3"/>
  <c r="M482" i="3"/>
  <c r="J482" i="3"/>
  <c r="I482" i="3"/>
  <c r="F482" i="3"/>
  <c r="N480" i="3"/>
  <c r="M480" i="3"/>
  <c r="J480" i="3"/>
  <c r="I480" i="3"/>
  <c r="F480" i="3"/>
  <c r="N479" i="3"/>
  <c r="M479" i="3"/>
  <c r="J479" i="3"/>
  <c r="I479" i="3"/>
  <c r="F479" i="3"/>
  <c r="N478" i="3"/>
  <c r="M478" i="3"/>
  <c r="J478" i="3"/>
  <c r="I478" i="3"/>
  <c r="F478" i="3"/>
  <c r="N476" i="3"/>
  <c r="M476" i="3"/>
  <c r="J476" i="3"/>
  <c r="I476" i="3"/>
  <c r="F476" i="3"/>
  <c r="N475" i="3"/>
  <c r="M475" i="3"/>
  <c r="J475" i="3"/>
  <c r="I475" i="3"/>
  <c r="F475" i="3"/>
  <c r="N474" i="3"/>
  <c r="M474" i="3"/>
  <c r="J474" i="3"/>
  <c r="I474" i="3"/>
  <c r="F474" i="3"/>
  <c r="N472" i="3"/>
  <c r="M472" i="3"/>
  <c r="J472" i="3"/>
  <c r="I472" i="3"/>
  <c r="F472" i="3"/>
  <c r="N471" i="3"/>
  <c r="M471" i="3"/>
  <c r="J471" i="3"/>
  <c r="I471" i="3"/>
  <c r="F471" i="3"/>
  <c r="N470" i="3"/>
  <c r="M470" i="3"/>
  <c r="J470" i="3"/>
  <c r="I470" i="3"/>
  <c r="F470" i="3"/>
  <c r="N468" i="3"/>
  <c r="M468" i="3"/>
  <c r="J468" i="3"/>
  <c r="I468" i="3"/>
  <c r="F468" i="3"/>
  <c r="N467" i="3"/>
  <c r="M467" i="3"/>
  <c r="J467" i="3"/>
  <c r="I467" i="3"/>
  <c r="F467" i="3"/>
  <c r="N466" i="3"/>
  <c r="M466" i="3"/>
  <c r="J466" i="3"/>
  <c r="I466" i="3"/>
  <c r="F466" i="3"/>
  <c r="N464" i="3"/>
  <c r="M464" i="3"/>
  <c r="J464" i="3"/>
  <c r="I464" i="3"/>
  <c r="F464" i="3"/>
  <c r="N463" i="3"/>
  <c r="M463" i="3"/>
  <c r="J463" i="3"/>
  <c r="I463" i="3"/>
  <c r="F463" i="3"/>
  <c r="N462" i="3"/>
  <c r="M462" i="3"/>
  <c r="J462" i="3"/>
  <c r="I462" i="3"/>
  <c r="F462" i="3"/>
  <c r="N460" i="3"/>
  <c r="M460" i="3"/>
  <c r="J460" i="3"/>
  <c r="I460" i="3"/>
  <c r="F460" i="3"/>
  <c r="N459" i="3"/>
  <c r="M459" i="3"/>
  <c r="J459" i="3"/>
  <c r="I459" i="3"/>
  <c r="F459" i="3"/>
  <c r="N458" i="3"/>
  <c r="M458" i="3"/>
  <c r="J458" i="3"/>
  <c r="I458" i="3"/>
  <c r="F458" i="3"/>
  <c r="N447" i="3"/>
  <c r="M447" i="3"/>
  <c r="J447" i="3"/>
  <c r="I447" i="3"/>
  <c r="F447" i="3"/>
  <c r="N446" i="3"/>
  <c r="M446" i="3"/>
  <c r="J446" i="3"/>
  <c r="I446" i="3"/>
  <c r="F446" i="3"/>
  <c r="N445" i="3"/>
  <c r="M445" i="3"/>
  <c r="J445" i="3"/>
  <c r="I445" i="3"/>
  <c r="F445" i="3"/>
  <c r="N444" i="3"/>
  <c r="M444" i="3"/>
  <c r="J444" i="3"/>
  <c r="I444" i="3"/>
  <c r="F444" i="3"/>
  <c r="N443" i="3"/>
  <c r="M443" i="3"/>
  <c r="J443" i="3"/>
  <c r="I443" i="3"/>
  <c r="F443" i="3"/>
  <c r="N442" i="3"/>
  <c r="M442" i="3"/>
  <c r="J442" i="3"/>
  <c r="I442" i="3"/>
  <c r="F442" i="3"/>
  <c r="M431" i="3"/>
  <c r="J431" i="3"/>
  <c r="I431" i="3"/>
  <c r="F431" i="3"/>
  <c r="M430" i="3"/>
  <c r="J430" i="3"/>
  <c r="I430" i="3"/>
  <c r="F430" i="3"/>
  <c r="M429" i="3"/>
  <c r="J429" i="3"/>
  <c r="I429" i="3"/>
  <c r="F429" i="3"/>
  <c r="M428" i="3"/>
  <c r="J428" i="3"/>
  <c r="I428" i="3"/>
  <c r="F428" i="3"/>
  <c r="M427" i="3"/>
  <c r="J427" i="3"/>
  <c r="I427" i="3"/>
  <c r="F427" i="3"/>
  <c r="M426" i="3"/>
  <c r="J426" i="3"/>
  <c r="I426" i="3"/>
  <c r="F426" i="3"/>
  <c r="M423" i="3"/>
  <c r="J423" i="3"/>
  <c r="I423" i="3"/>
  <c r="F423" i="3"/>
  <c r="M422" i="3"/>
  <c r="J422" i="3"/>
  <c r="I422" i="3"/>
  <c r="F422" i="3"/>
  <c r="M421" i="3"/>
  <c r="J421" i="3"/>
  <c r="I421" i="3"/>
  <c r="F421" i="3"/>
  <c r="M420" i="3"/>
  <c r="J420" i="3"/>
  <c r="I420" i="3"/>
  <c r="F420" i="3"/>
  <c r="M419" i="3"/>
  <c r="J419" i="3"/>
  <c r="I419" i="3"/>
  <c r="F419" i="3"/>
  <c r="M418" i="3"/>
  <c r="J418" i="3"/>
  <c r="I418" i="3"/>
  <c r="F418" i="3"/>
  <c r="M415" i="3"/>
  <c r="J415" i="3"/>
  <c r="I415" i="3"/>
  <c r="F415" i="3"/>
  <c r="M414" i="3"/>
  <c r="J414" i="3"/>
  <c r="I414" i="3"/>
  <c r="F414" i="3"/>
  <c r="M413" i="3"/>
  <c r="J413" i="3"/>
  <c r="I413" i="3"/>
  <c r="F413" i="3"/>
  <c r="M412" i="3"/>
  <c r="J412" i="3"/>
  <c r="I412" i="3"/>
  <c r="F412" i="3"/>
  <c r="M411" i="3"/>
  <c r="J411" i="3"/>
  <c r="I411" i="3"/>
  <c r="F411" i="3"/>
  <c r="M410" i="3"/>
  <c r="J410" i="3"/>
  <c r="I410" i="3"/>
  <c r="F410" i="3"/>
  <c r="N302" i="3"/>
  <c r="M302" i="3"/>
  <c r="J302" i="3"/>
  <c r="I302" i="3"/>
  <c r="F302" i="3"/>
  <c r="N301" i="3"/>
  <c r="M301" i="3"/>
  <c r="J301" i="3"/>
  <c r="I301" i="3"/>
  <c r="F301" i="3"/>
  <c r="N300" i="3"/>
  <c r="M300" i="3"/>
  <c r="J300" i="3"/>
  <c r="I300" i="3"/>
  <c r="F300" i="3"/>
  <c r="N299" i="3"/>
  <c r="M299" i="3"/>
  <c r="J299" i="3"/>
  <c r="I299" i="3"/>
  <c r="F299" i="3"/>
  <c r="N298" i="3"/>
  <c r="M298" i="3"/>
  <c r="J298" i="3"/>
  <c r="I298" i="3"/>
  <c r="F298" i="3"/>
  <c r="N297" i="3"/>
  <c r="M297" i="3"/>
  <c r="J297" i="3"/>
  <c r="I297" i="3"/>
  <c r="F297" i="3"/>
  <c r="N296" i="3"/>
  <c r="M296" i="3"/>
  <c r="J296" i="3"/>
  <c r="I296" i="3"/>
  <c r="F296" i="3"/>
  <c r="N294" i="3"/>
  <c r="M294" i="3"/>
  <c r="J294" i="3"/>
  <c r="I294" i="3"/>
  <c r="F294" i="3"/>
  <c r="N293" i="3"/>
  <c r="M293" i="3"/>
  <c r="J293" i="3"/>
  <c r="I293" i="3"/>
  <c r="F293" i="3"/>
  <c r="N292" i="3"/>
  <c r="M292" i="3"/>
  <c r="J292" i="3"/>
  <c r="I292" i="3"/>
  <c r="F292" i="3"/>
  <c r="N291" i="3"/>
  <c r="M291" i="3"/>
  <c r="J291" i="3"/>
  <c r="I291" i="3"/>
  <c r="F291" i="3"/>
  <c r="N290" i="3"/>
  <c r="M290" i="3"/>
  <c r="J290" i="3"/>
  <c r="I290" i="3"/>
  <c r="F290" i="3"/>
  <c r="N289" i="3"/>
  <c r="M289" i="3"/>
  <c r="J289" i="3"/>
  <c r="I289" i="3"/>
  <c r="F289" i="3"/>
  <c r="N288" i="3"/>
  <c r="M288" i="3"/>
  <c r="J288" i="3"/>
  <c r="I288" i="3"/>
  <c r="F288" i="3"/>
  <c r="N286" i="3"/>
  <c r="M286" i="3"/>
  <c r="J286" i="3"/>
  <c r="I286" i="3"/>
  <c r="F286" i="3"/>
  <c r="N285" i="3"/>
  <c r="M285" i="3"/>
  <c r="J285" i="3"/>
  <c r="I285" i="3"/>
  <c r="F285" i="3"/>
  <c r="N284" i="3"/>
  <c r="M284" i="3"/>
  <c r="J284" i="3"/>
  <c r="I284" i="3"/>
  <c r="F284" i="3"/>
  <c r="N283" i="3"/>
  <c r="M283" i="3"/>
  <c r="J283" i="3"/>
  <c r="I283" i="3"/>
  <c r="F283" i="3"/>
  <c r="N282" i="3"/>
  <c r="M282" i="3"/>
  <c r="J282" i="3"/>
  <c r="I282" i="3"/>
  <c r="F282" i="3"/>
  <c r="N281" i="3"/>
  <c r="M281" i="3"/>
  <c r="J281" i="3"/>
  <c r="I281" i="3"/>
  <c r="F281" i="3"/>
  <c r="N280" i="3"/>
  <c r="M280" i="3"/>
  <c r="J280" i="3"/>
  <c r="I280" i="3"/>
  <c r="F280" i="3"/>
  <c r="N278" i="3"/>
  <c r="M278" i="3"/>
  <c r="J278" i="3"/>
  <c r="I278" i="3"/>
  <c r="F278" i="3"/>
  <c r="N277" i="3"/>
  <c r="M277" i="3"/>
  <c r="J277" i="3"/>
  <c r="I277" i="3"/>
  <c r="F277" i="3"/>
  <c r="N276" i="3"/>
  <c r="M276" i="3"/>
  <c r="J276" i="3"/>
  <c r="I276" i="3"/>
  <c r="F276" i="3"/>
  <c r="N275" i="3"/>
  <c r="M275" i="3"/>
  <c r="J275" i="3"/>
  <c r="I275" i="3"/>
  <c r="F275" i="3"/>
  <c r="N274" i="3"/>
  <c r="M274" i="3"/>
  <c r="J274" i="3"/>
  <c r="I274" i="3"/>
  <c r="F274" i="3"/>
  <c r="N273" i="3"/>
  <c r="M273" i="3"/>
  <c r="J273" i="3"/>
  <c r="I273" i="3"/>
  <c r="F273" i="3"/>
  <c r="N272" i="3"/>
  <c r="M272" i="3"/>
  <c r="J272" i="3"/>
  <c r="I272" i="3"/>
  <c r="F272" i="3"/>
  <c r="N270" i="3"/>
  <c r="M270" i="3"/>
  <c r="J270" i="3"/>
  <c r="I270" i="3"/>
  <c r="F270" i="3"/>
  <c r="N269" i="3"/>
  <c r="M269" i="3"/>
  <c r="J269" i="3"/>
  <c r="I269" i="3"/>
  <c r="F269" i="3"/>
  <c r="N268" i="3"/>
  <c r="M268" i="3"/>
  <c r="J268" i="3"/>
  <c r="I268" i="3"/>
  <c r="F268" i="3"/>
  <c r="N267" i="3"/>
  <c r="M267" i="3"/>
  <c r="J267" i="3"/>
  <c r="I267" i="3"/>
  <c r="F267" i="3"/>
  <c r="N266" i="3"/>
  <c r="M266" i="3"/>
  <c r="J266" i="3"/>
  <c r="I266" i="3"/>
  <c r="F266" i="3"/>
  <c r="N265" i="3"/>
  <c r="M265" i="3"/>
  <c r="J265" i="3"/>
  <c r="I265" i="3"/>
  <c r="F265" i="3"/>
  <c r="N264" i="3"/>
  <c r="M264" i="3"/>
  <c r="J264" i="3"/>
  <c r="I264" i="3"/>
  <c r="F264" i="3"/>
  <c r="N246" i="3"/>
  <c r="M246" i="3"/>
  <c r="J246" i="3"/>
  <c r="I246" i="3"/>
  <c r="F246" i="3"/>
  <c r="N245" i="3"/>
  <c r="M245" i="3"/>
  <c r="J245" i="3"/>
  <c r="I245" i="3"/>
  <c r="F245" i="3"/>
  <c r="N244" i="3"/>
  <c r="M244" i="3"/>
  <c r="J244" i="3"/>
  <c r="I244" i="3"/>
  <c r="F244" i="3"/>
  <c r="N243" i="3"/>
  <c r="M243" i="3"/>
  <c r="J243" i="3"/>
  <c r="I243" i="3"/>
  <c r="F243" i="3"/>
  <c r="N242" i="3"/>
  <c r="M242" i="3"/>
  <c r="J242" i="3"/>
  <c r="I242" i="3"/>
  <c r="F242" i="3"/>
  <c r="N241" i="3"/>
  <c r="M241" i="3"/>
  <c r="J241" i="3"/>
  <c r="I241" i="3"/>
  <c r="F241" i="3"/>
  <c r="N240" i="3"/>
  <c r="M240" i="3"/>
  <c r="J240" i="3"/>
  <c r="I240" i="3"/>
  <c r="F240" i="3"/>
  <c r="M230" i="3"/>
  <c r="J230" i="3"/>
  <c r="I230" i="3"/>
  <c r="M229" i="3"/>
  <c r="J229" i="3"/>
  <c r="I229" i="3"/>
  <c r="M228" i="3"/>
  <c r="J228" i="3"/>
  <c r="I228" i="3"/>
  <c r="M227" i="3"/>
  <c r="J227" i="3"/>
  <c r="I227" i="3"/>
  <c r="M226" i="3"/>
  <c r="J226" i="3"/>
  <c r="I226" i="3"/>
  <c r="M225" i="3"/>
  <c r="J225" i="3"/>
  <c r="I225" i="3"/>
  <c r="M224" i="3"/>
  <c r="J224" i="3"/>
  <c r="I224" i="3"/>
  <c r="M222" i="3"/>
  <c r="J222" i="3"/>
  <c r="I222" i="3"/>
  <c r="F222" i="3"/>
  <c r="M221" i="3"/>
  <c r="J221" i="3"/>
  <c r="I221" i="3"/>
  <c r="F221" i="3"/>
  <c r="M220" i="3"/>
  <c r="J220" i="3"/>
  <c r="I220" i="3"/>
  <c r="F220" i="3"/>
  <c r="M219" i="3"/>
  <c r="J219" i="3"/>
  <c r="I219" i="3"/>
  <c r="F219" i="3"/>
  <c r="M218" i="3"/>
  <c r="J218" i="3"/>
  <c r="I218" i="3"/>
  <c r="F218" i="3"/>
  <c r="M217" i="3"/>
  <c r="J217" i="3"/>
  <c r="I217" i="3"/>
  <c r="F217" i="3"/>
  <c r="M216" i="3"/>
  <c r="J216" i="3"/>
  <c r="I216" i="3"/>
  <c r="F216" i="3"/>
  <c r="M214" i="3"/>
  <c r="J214" i="3"/>
  <c r="I214" i="3"/>
  <c r="F214" i="3"/>
  <c r="M213" i="3"/>
  <c r="J213" i="3"/>
  <c r="I213" i="3"/>
  <c r="F213" i="3"/>
  <c r="M212" i="3"/>
  <c r="J212" i="3"/>
  <c r="I212" i="3"/>
  <c r="F212" i="3"/>
  <c r="M211" i="3"/>
  <c r="J211" i="3"/>
  <c r="I211" i="3"/>
  <c r="F211" i="3"/>
  <c r="M210" i="3"/>
  <c r="J210" i="3"/>
  <c r="I210" i="3"/>
  <c r="F210" i="3"/>
  <c r="M209" i="3"/>
  <c r="J209" i="3"/>
  <c r="I209" i="3"/>
  <c r="F209" i="3"/>
  <c r="M208" i="3"/>
  <c r="J208" i="3"/>
  <c r="I208" i="3"/>
  <c r="F208" i="3"/>
  <c r="N99" i="3"/>
  <c r="M99" i="3"/>
  <c r="J99" i="3"/>
  <c r="I99" i="3"/>
  <c r="F99" i="3"/>
  <c r="N98" i="3"/>
  <c r="M98" i="3"/>
  <c r="J98" i="3"/>
  <c r="I98" i="3"/>
  <c r="F98" i="3"/>
  <c r="N97" i="3"/>
  <c r="M97" i="3"/>
  <c r="J97" i="3"/>
  <c r="I97" i="3"/>
  <c r="F97" i="3"/>
  <c r="N96" i="3"/>
  <c r="M96" i="3"/>
  <c r="J96" i="3"/>
  <c r="I96" i="3"/>
  <c r="F96" i="3"/>
  <c r="N95" i="3"/>
  <c r="M95" i="3"/>
  <c r="J95" i="3"/>
  <c r="I95" i="3"/>
  <c r="F95" i="3"/>
  <c r="N94" i="3"/>
  <c r="M94" i="3"/>
  <c r="J94" i="3"/>
  <c r="I94" i="3"/>
  <c r="F94" i="3"/>
  <c r="N93" i="3"/>
  <c r="M93" i="3"/>
  <c r="J93" i="3"/>
  <c r="I93" i="3"/>
  <c r="F93" i="3"/>
  <c r="N91" i="3"/>
  <c r="M91" i="3"/>
  <c r="J91" i="3"/>
  <c r="I91" i="3"/>
  <c r="F91" i="3"/>
  <c r="N90" i="3"/>
  <c r="M90" i="3"/>
  <c r="J90" i="3"/>
  <c r="I90" i="3"/>
  <c r="F90" i="3"/>
  <c r="N89" i="3"/>
  <c r="M89" i="3"/>
  <c r="J89" i="3"/>
  <c r="I89" i="3"/>
  <c r="F89" i="3"/>
  <c r="N88" i="3"/>
  <c r="M88" i="3"/>
  <c r="J88" i="3"/>
  <c r="I88" i="3"/>
  <c r="F88" i="3"/>
  <c r="N87" i="3"/>
  <c r="M87" i="3"/>
  <c r="J87" i="3"/>
  <c r="I87" i="3"/>
  <c r="F87" i="3"/>
  <c r="N86" i="3"/>
  <c r="M86" i="3"/>
  <c r="J86" i="3"/>
  <c r="I86" i="3"/>
  <c r="F86" i="3"/>
  <c r="N85" i="3"/>
  <c r="M85" i="3"/>
  <c r="J85" i="3"/>
  <c r="I85" i="3"/>
  <c r="F85" i="3"/>
  <c r="N83" i="3"/>
  <c r="M83" i="3"/>
  <c r="J83" i="3"/>
  <c r="I83" i="3"/>
  <c r="F83" i="3"/>
  <c r="N82" i="3"/>
  <c r="M82" i="3"/>
  <c r="J82" i="3"/>
  <c r="I82" i="3"/>
  <c r="F82" i="3"/>
  <c r="N81" i="3"/>
  <c r="M81" i="3"/>
  <c r="J81" i="3"/>
  <c r="I81" i="3"/>
  <c r="F81" i="3"/>
  <c r="N80" i="3"/>
  <c r="M80" i="3"/>
  <c r="J80" i="3"/>
  <c r="I80" i="3"/>
  <c r="F80" i="3"/>
  <c r="N79" i="3"/>
  <c r="M79" i="3"/>
  <c r="J79" i="3"/>
  <c r="I79" i="3"/>
  <c r="F79" i="3"/>
  <c r="N78" i="3"/>
  <c r="M78" i="3"/>
  <c r="J78" i="3"/>
  <c r="I78" i="3"/>
  <c r="F78" i="3"/>
  <c r="N77" i="3"/>
  <c r="M77" i="3"/>
  <c r="J77" i="3"/>
  <c r="I77" i="3"/>
  <c r="F77" i="3"/>
  <c r="N75" i="3"/>
  <c r="M75" i="3"/>
  <c r="J75" i="3"/>
  <c r="I75" i="3"/>
  <c r="F75" i="3"/>
  <c r="N74" i="3"/>
  <c r="M74" i="3"/>
  <c r="J74" i="3"/>
  <c r="I74" i="3"/>
  <c r="F74" i="3"/>
  <c r="N73" i="3"/>
  <c r="M73" i="3"/>
  <c r="J73" i="3"/>
  <c r="I73" i="3"/>
  <c r="F73" i="3"/>
  <c r="N72" i="3"/>
  <c r="M72" i="3"/>
  <c r="J72" i="3"/>
  <c r="I72" i="3"/>
  <c r="F72" i="3"/>
  <c r="N71" i="3"/>
  <c r="M71" i="3"/>
  <c r="J71" i="3"/>
  <c r="I71" i="3"/>
  <c r="F71" i="3"/>
  <c r="N70" i="3"/>
  <c r="M70" i="3"/>
  <c r="J70" i="3"/>
  <c r="I70" i="3"/>
  <c r="F70" i="3"/>
  <c r="N69" i="3"/>
  <c r="M69" i="3"/>
  <c r="J69" i="3"/>
  <c r="I69" i="3"/>
  <c r="F69" i="3"/>
  <c r="N67" i="3"/>
  <c r="M67" i="3"/>
  <c r="J67" i="3"/>
  <c r="I67" i="3"/>
  <c r="F67" i="3"/>
  <c r="N66" i="3"/>
  <c r="M66" i="3"/>
  <c r="J66" i="3"/>
  <c r="I66" i="3"/>
  <c r="F66" i="3"/>
  <c r="N65" i="3"/>
  <c r="M65" i="3"/>
  <c r="J65" i="3"/>
  <c r="I65" i="3"/>
  <c r="F65" i="3"/>
  <c r="N64" i="3"/>
  <c r="M64" i="3"/>
  <c r="J64" i="3"/>
  <c r="I64" i="3"/>
  <c r="F64" i="3"/>
  <c r="N63" i="3"/>
  <c r="M63" i="3"/>
  <c r="J63" i="3"/>
  <c r="I63" i="3"/>
  <c r="F63" i="3"/>
  <c r="N62" i="3"/>
  <c r="M62" i="3"/>
  <c r="J62" i="3"/>
  <c r="I62" i="3"/>
  <c r="F62" i="3"/>
  <c r="N61" i="3"/>
  <c r="M61" i="3"/>
  <c r="J61" i="3"/>
  <c r="I61" i="3"/>
  <c r="F61" i="3"/>
  <c r="N43" i="3"/>
  <c r="M43" i="3"/>
  <c r="J43" i="3"/>
  <c r="I43" i="3"/>
  <c r="F43" i="3"/>
  <c r="N42" i="3"/>
  <c r="M42" i="3"/>
  <c r="J42" i="3"/>
  <c r="I42" i="3"/>
  <c r="F42" i="3"/>
  <c r="N41" i="3"/>
  <c r="M41" i="3"/>
  <c r="J41" i="3"/>
  <c r="I41" i="3"/>
  <c r="F41" i="3"/>
  <c r="N40" i="3"/>
  <c r="M40" i="3"/>
  <c r="J40" i="3"/>
  <c r="I40" i="3"/>
  <c r="F40" i="3"/>
  <c r="N39" i="3"/>
  <c r="M39" i="3"/>
  <c r="J39" i="3"/>
  <c r="I39" i="3"/>
  <c r="F39" i="3"/>
  <c r="N38" i="3"/>
  <c r="M38" i="3"/>
  <c r="J38" i="3"/>
  <c r="I38" i="3"/>
  <c r="F38" i="3"/>
  <c r="N37" i="3"/>
  <c r="M37" i="3"/>
  <c r="J37" i="3"/>
  <c r="I37" i="3"/>
  <c r="F37" i="3"/>
  <c r="M27" i="3"/>
  <c r="J27" i="3"/>
  <c r="I27" i="3"/>
  <c r="F27" i="3"/>
  <c r="M26" i="3"/>
  <c r="J26" i="3"/>
  <c r="I26" i="3"/>
  <c r="F26" i="3"/>
  <c r="M25" i="3"/>
  <c r="J25" i="3"/>
  <c r="I25" i="3"/>
  <c r="F25" i="3"/>
  <c r="M24" i="3"/>
  <c r="J24" i="3"/>
  <c r="I24" i="3"/>
  <c r="F24" i="3"/>
  <c r="M23" i="3"/>
  <c r="J23" i="3"/>
  <c r="I23" i="3"/>
  <c r="F23" i="3"/>
  <c r="M22" i="3"/>
  <c r="J22" i="3"/>
  <c r="I22" i="3"/>
  <c r="F22" i="3"/>
  <c r="M21" i="3"/>
  <c r="J21" i="3"/>
  <c r="I21" i="3"/>
  <c r="F21" i="3"/>
  <c r="M19" i="3"/>
  <c r="J19" i="3"/>
  <c r="I19" i="3"/>
  <c r="F19" i="3"/>
  <c r="M18" i="3"/>
  <c r="J18" i="3"/>
  <c r="I18" i="3"/>
  <c r="F18" i="3"/>
  <c r="M17" i="3"/>
  <c r="J17" i="3"/>
  <c r="I17" i="3"/>
  <c r="F17" i="3"/>
  <c r="M16" i="3"/>
  <c r="J16" i="3"/>
  <c r="I16" i="3"/>
  <c r="F16" i="3"/>
  <c r="M15" i="3"/>
  <c r="J15" i="3"/>
  <c r="I15" i="3"/>
  <c r="F15" i="3"/>
  <c r="M14" i="3"/>
  <c r="J14" i="3"/>
  <c r="I14" i="3"/>
  <c r="F14" i="3"/>
  <c r="M13" i="3"/>
  <c r="J13" i="3"/>
  <c r="I13" i="3"/>
  <c r="F13" i="3"/>
  <c r="N11" i="3"/>
  <c r="M11" i="3"/>
  <c r="J11" i="3"/>
  <c r="I11" i="3"/>
  <c r="F11" i="3"/>
  <c r="N10" i="3"/>
  <c r="M10" i="3"/>
  <c r="J10" i="3"/>
  <c r="I10" i="3"/>
  <c r="F10" i="3"/>
  <c r="N9" i="3"/>
  <c r="M9" i="3"/>
  <c r="J9" i="3"/>
  <c r="I9" i="3"/>
  <c r="F9" i="3"/>
  <c r="N8" i="3"/>
  <c r="M8" i="3"/>
  <c r="J8" i="3"/>
  <c r="I8" i="3"/>
  <c r="F8" i="3"/>
  <c r="N7" i="3"/>
  <c r="M7" i="3"/>
  <c r="J7" i="3"/>
  <c r="I7" i="3"/>
  <c r="F7" i="3"/>
  <c r="N6" i="3"/>
  <c r="M6" i="3"/>
  <c r="J6" i="3"/>
  <c r="I6" i="3"/>
  <c r="F6" i="3"/>
  <c r="N5" i="3"/>
  <c r="M5" i="3"/>
  <c r="J5" i="3"/>
  <c r="I5" i="3"/>
  <c r="F5" i="3"/>
  <c r="P36" i="2"/>
  <c r="P34" i="2" s="1"/>
  <c r="P35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C111" i="2"/>
  <c r="B111" i="2"/>
  <c r="O36" i="2"/>
  <c r="N36" i="2"/>
  <c r="N34" i="2" s="1"/>
  <c r="M36" i="2"/>
  <c r="M31" i="2" s="1"/>
  <c r="L36" i="2"/>
  <c r="L31" i="2" s="1"/>
  <c r="K36" i="2"/>
  <c r="J36" i="2"/>
  <c r="J34" i="2" s="1"/>
  <c r="I36" i="2"/>
  <c r="I34" i="2" s="1"/>
  <c r="H36" i="2"/>
  <c r="H34" i="2" s="1"/>
  <c r="G36" i="2"/>
  <c r="G31" i="2" s="1"/>
  <c r="O35" i="2"/>
  <c r="O33" i="2" s="1"/>
  <c r="N35" i="2"/>
  <c r="N33" i="2" s="1"/>
  <c r="M35" i="2"/>
  <c r="M30" i="2" s="1"/>
  <c r="L35" i="2"/>
  <c r="L33" i="2" s="1"/>
  <c r="K35" i="2"/>
  <c r="J35" i="2"/>
  <c r="J30" i="2" s="1"/>
  <c r="I35" i="2"/>
  <c r="I33" i="2" s="1"/>
  <c r="H35" i="2"/>
  <c r="H33" i="2" s="1"/>
  <c r="G35" i="2"/>
  <c r="G33" i="2" s="1"/>
  <c r="F34" i="2"/>
  <c r="E34" i="2"/>
  <c r="D34" i="2"/>
  <c r="C34" i="2"/>
  <c r="B34" i="2"/>
  <c r="F33" i="2"/>
  <c r="E33" i="2"/>
  <c r="D33" i="2"/>
  <c r="C33" i="2"/>
  <c r="B33" i="2"/>
  <c r="J31" i="2"/>
  <c r="F31" i="2"/>
  <c r="E31" i="2"/>
  <c r="D31" i="2"/>
  <c r="C31" i="2"/>
  <c r="B31" i="2"/>
  <c r="F30" i="2"/>
  <c r="E30" i="2"/>
  <c r="D30" i="2"/>
  <c r="C30" i="2"/>
  <c r="B30" i="2"/>
  <c r="M20" i="2"/>
  <c r="L20" i="2"/>
  <c r="J20" i="2"/>
  <c r="I20" i="2"/>
  <c r="H20" i="2"/>
  <c r="G20" i="2"/>
  <c r="F20" i="2"/>
  <c r="E20" i="2"/>
  <c r="D20" i="2"/>
  <c r="C20" i="2"/>
  <c r="B20" i="2"/>
  <c r="M19" i="2"/>
  <c r="L19" i="2"/>
  <c r="J19" i="2"/>
  <c r="I19" i="2"/>
  <c r="H19" i="2"/>
  <c r="G19" i="2"/>
  <c r="F19" i="2"/>
  <c r="E19" i="2"/>
  <c r="D19" i="2"/>
  <c r="C19" i="2"/>
  <c r="B19" i="2"/>
  <c r="N18" i="2"/>
  <c r="N19" i="2" s="1"/>
  <c r="M17" i="2"/>
  <c r="L17" i="2"/>
  <c r="J17" i="2"/>
  <c r="I17" i="2"/>
  <c r="H17" i="2"/>
  <c r="G17" i="2"/>
  <c r="F17" i="2"/>
  <c r="E17" i="2"/>
  <c r="D17" i="2"/>
  <c r="C17" i="2"/>
  <c r="B17" i="2"/>
  <c r="M16" i="2"/>
  <c r="L16" i="2"/>
  <c r="J16" i="2"/>
  <c r="I16" i="2"/>
  <c r="H16" i="2"/>
  <c r="G16" i="2"/>
  <c r="F16" i="2"/>
  <c r="E16" i="2"/>
  <c r="D16" i="2"/>
  <c r="C16" i="2"/>
  <c r="B16" i="2"/>
  <c r="N15" i="2"/>
  <c r="N16" i="2" s="1"/>
  <c r="L8" i="2"/>
  <c r="L7" i="2"/>
  <c r="L6" i="2"/>
  <c r="L5" i="2"/>
  <c r="L4" i="2"/>
  <c r="M34" i="2" l="1"/>
  <c r="H30" i="2"/>
  <c r="G34" i="2"/>
  <c r="L34" i="2"/>
  <c r="O30" i="2"/>
  <c r="L30" i="2"/>
  <c r="I30" i="2"/>
  <c r="N17" i="2"/>
  <c r="N20" i="2"/>
  <c r="O77" i="4"/>
  <c r="O81" i="4"/>
  <c r="O85" i="4"/>
  <c r="O79" i="4"/>
  <c r="O83" i="4"/>
  <c r="O87" i="4"/>
  <c r="O78" i="4"/>
  <c r="O82" i="4"/>
  <c r="O80" i="4"/>
  <c r="O84" i="4"/>
  <c r="O99" i="4"/>
  <c r="O90" i="4"/>
  <c r="O94" i="4"/>
  <c r="O96" i="4"/>
  <c r="O91" i="4"/>
  <c r="O95" i="4"/>
  <c r="O92" i="4"/>
  <c r="O89" i="4"/>
  <c r="O93" i="4"/>
  <c r="O97" i="4"/>
  <c r="P80" i="4"/>
  <c r="P84" i="4"/>
  <c r="P78" i="4"/>
  <c r="P87" i="4"/>
  <c r="P83" i="4"/>
  <c r="P77" i="4"/>
  <c r="P81" i="4"/>
  <c r="P85" i="4"/>
  <c r="P82" i="4"/>
  <c r="P79" i="4"/>
  <c r="P89" i="4"/>
  <c r="P93" i="4"/>
  <c r="P97" i="4"/>
  <c r="P91" i="4"/>
  <c r="P96" i="4"/>
  <c r="P90" i="4"/>
  <c r="P94" i="4"/>
  <c r="P95" i="4"/>
  <c r="P99" i="4"/>
  <c r="P92" i="4"/>
  <c r="M33" i="2"/>
  <c r="H31" i="2"/>
  <c r="J33" i="2"/>
  <c r="N30" i="2"/>
  <c r="I31" i="2"/>
  <c r="G30" i="2"/>
  <c r="AJ38" i="6"/>
  <c r="AK38" i="6"/>
  <c r="O39" i="4"/>
  <c r="M113" i="2"/>
  <c r="P31" i="2"/>
  <c r="O113" i="2"/>
  <c r="P39" i="4"/>
  <c r="P75" i="4"/>
  <c r="O75" i="4"/>
  <c r="E113" i="2"/>
  <c r="F113" i="2"/>
  <c r="P81" i="2"/>
  <c r="P113" i="2" s="1"/>
  <c r="I113" i="2"/>
  <c r="B113" i="2"/>
  <c r="J113" i="2"/>
  <c r="C113" i="2"/>
  <c r="G113" i="2"/>
  <c r="K113" i="2"/>
  <c r="D113" i="2"/>
  <c r="H113" i="2"/>
  <c r="L113" i="2"/>
  <c r="P30" i="2"/>
  <c r="O31" i="2"/>
  <c r="P33" i="2"/>
  <c r="P16" i="2"/>
  <c r="P17" i="2"/>
  <c r="P20" i="2"/>
  <c r="P19" i="2"/>
  <c r="O20" i="2"/>
  <c r="O19" i="2"/>
  <c r="O17" i="2"/>
  <c r="O16" i="2"/>
  <c r="B112" i="2"/>
  <c r="J112" i="2"/>
  <c r="C112" i="2"/>
  <c r="G112" i="2"/>
  <c r="O112" i="2"/>
  <c r="N31" i="2"/>
  <c r="O34" i="2"/>
  <c r="E112" i="2"/>
  <c r="I112" i="2"/>
  <c r="M112" i="2"/>
  <c r="F112" i="2"/>
  <c r="N112" i="2"/>
  <c r="K112" i="2"/>
  <c r="P80" i="2"/>
  <c r="P112" i="2" s="1"/>
  <c r="D112" i="2"/>
  <c r="H112" i="2"/>
</calcChain>
</file>

<file path=xl/sharedStrings.xml><?xml version="1.0" encoding="utf-8"?>
<sst xmlns="http://schemas.openxmlformats.org/spreadsheetml/2006/main" count="7413" uniqueCount="632">
  <si>
    <t>Seznam tabulek a grafů</t>
  </si>
  <si>
    <t>Ležatá čárka ( - ) na místě čísla značí, že jev se nevyskytoval</t>
  </si>
  <si>
    <t>Tečka ( . ) na místě čísla značí, že údaj není k dispozici nebo je nespolehlivý</t>
  </si>
  <si>
    <t>Ležatý křížek ( x ) značí, že zápis není možný z logických důvodů</t>
  </si>
  <si>
    <t>1999/2000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</si>
  <si>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</si>
  <si>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</si>
  <si>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</si>
  <si>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</si>
  <si>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</si>
  <si>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</si>
  <si>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</si>
  <si>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</si>
  <si>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</si>
  <si>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</si>
  <si>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</si>
  <si>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</si>
  <si>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</si>
  <si>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počet podaných přihlášek</t>
  </si>
  <si>
    <t>přihlášené osoby</t>
  </si>
  <si>
    <t>přihlášené osoby, které se dostavily k p.ř.</t>
  </si>
  <si>
    <t>.</t>
  </si>
  <si>
    <t>počet přijatých osob</t>
  </si>
  <si>
    <t>počet zapsaných osob</t>
  </si>
  <si>
    <t>Údaje za všechny formy a druhy studia.</t>
  </si>
  <si>
    <t>1999/00</t>
  </si>
  <si>
    <t>přihlášení v tis.</t>
  </si>
  <si>
    <t>podíl na počtu 18/19letých*</t>
  </si>
  <si>
    <t>podíl na počtu maturantů</t>
  </si>
  <si>
    <t>zapsaní v tis.</t>
  </si>
  <si>
    <t>18/19letí k 31.12.*</t>
  </si>
  <si>
    <t>Násobnost přihlášek</t>
  </si>
  <si>
    <t>celkem
přihlášených</t>
  </si>
  <si>
    <t>15 a &gt;</t>
  </si>
  <si>
    <t>průměr</t>
  </si>
  <si>
    <t>2013/14</t>
  </si>
  <si>
    <t>Druh a forma studia</t>
  </si>
  <si>
    <t>Počet podaných přihlášek</t>
  </si>
  <si>
    <t xml:space="preserve">Počet přihlášených </t>
  </si>
  <si>
    <t>Index přihlášek</t>
  </si>
  <si>
    <t>Počet přihlášek uchazečů,
kteří se dostavili
k přijímacímu řízení</t>
  </si>
  <si>
    <t>Počet uchazečů,
kteří se dostavili
k přijímacímu řízení</t>
  </si>
  <si>
    <t>Podíl přihlášek uchazečů, 
kteří se dostavili
k přijímacímu řízení</t>
  </si>
  <si>
    <t>Podíl přihlášených,
kteří se dostavili
k přijímacímu řízení</t>
  </si>
  <si>
    <t>Počet přijatých</t>
  </si>
  <si>
    <t xml:space="preserve">Počet 
zapsaných </t>
  </si>
  <si>
    <t>Počet přijatých / počet přihlášených</t>
  </si>
  <si>
    <t>Úspěšnost uchazečů*)</t>
  </si>
  <si>
    <t>Celkem</t>
  </si>
  <si>
    <t>v tom</t>
  </si>
  <si>
    <t>Prezenční studium celkem</t>
  </si>
  <si>
    <t>bakalářské studijní programy</t>
  </si>
  <si>
    <t>magisterské studijní programy</t>
  </si>
  <si>
    <t>Kombinované / distanční
studium celkem</t>
  </si>
  <si>
    <t xml:space="preserve"> </t>
  </si>
  <si>
    <t>* Počet přijatých / počet uchazečů, kteří se dostavili  k přijímacímu řízení.</t>
  </si>
  <si>
    <t>Veřejné VŠ</t>
  </si>
  <si>
    <t>Cumulative Percent</t>
  </si>
  <si>
    <t>zriz</t>
  </si>
  <si>
    <t>Frequency</t>
  </si>
  <si>
    <t>Percent</t>
  </si>
  <si>
    <t>Valid Percent</t>
  </si>
  <si>
    <t>Valid</t>
  </si>
  <si>
    <t>soukr</t>
  </si>
  <si>
    <t>ver</t>
  </si>
  <si>
    <t>Total</t>
  </si>
  <si>
    <t>Soukromé VŠ</t>
  </si>
  <si>
    <t>x</t>
  </si>
  <si>
    <t>-</t>
  </si>
  <si>
    <t xml:space="preserve">x </t>
  </si>
  <si>
    <t>Skupiny studijních programů</t>
  </si>
  <si>
    <t>Přírodní vědy a nauky</t>
  </si>
  <si>
    <t xml:space="preserve">. </t>
  </si>
  <si>
    <t>Technické vědy a nauky</t>
  </si>
  <si>
    <t xml:space="preserve">Zemědělsko-lesnické  a veterinární vědy a nauky </t>
  </si>
  <si>
    <t>Zdravotnictví, lékařské a farmaceut.vědy a nauky</t>
  </si>
  <si>
    <t>Humanitní a spol. vědy a nauky</t>
  </si>
  <si>
    <t>Ekonomické vědy a nauky</t>
  </si>
  <si>
    <t xml:space="preserve">Právní vědy a nauky </t>
  </si>
  <si>
    <t>Pedagogika, učitelství a soc. péče</t>
  </si>
  <si>
    <t>Vědy a nauky o kultuře a umění</t>
  </si>
  <si>
    <t>Neuvedeno</t>
  </si>
  <si>
    <t>Počet přihlášených</t>
  </si>
  <si>
    <t>Index přihlášek (počet přihlášek na 1 přihlášeného)</t>
  </si>
  <si>
    <t>Počet přihlášených, kteří se dostavili k přijímacímu řízení</t>
  </si>
  <si>
    <t xml:space="preserve">Úspěšnost (přijatí / přihlášení), od r. 2004/05 přijatí / přihlášení, kteří se dostavili k přijímacímu řízení </t>
  </si>
  <si>
    <t>Struktura přihlášených podle skupin studijních programů</t>
  </si>
  <si>
    <t>Struktura přijatých podle skupin studijních programů</t>
  </si>
  <si>
    <t>Pozn.: za rok 2003/04 nejsou k dispozici potřebné údaje ke zpracování oborové struktury.</t>
  </si>
  <si>
    <t>Věk k 31.8.1998</t>
  </si>
  <si>
    <t>Struktura přihláše- ných v %</t>
  </si>
  <si>
    <t>Struktura přijatých v %</t>
  </si>
  <si>
    <t>Struktura zapsa- ných v %</t>
  </si>
  <si>
    <t>Věk k 31.8.1999</t>
  </si>
  <si>
    <t>Struktura přihlášených v %</t>
  </si>
  <si>
    <t>Struktura přijatých v %</t>
  </si>
  <si>
    <t>Struktura zapsaných v %</t>
  </si>
  <si>
    <t>Věk k 31.8.2000</t>
  </si>
  <si>
    <t>prezenční studium</t>
  </si>
  <si>
    <t>kombinované / distanční studium</t>
  </si>
  <si>
    <t>30 a více</t>
  </si>
  <si>
    <t>Věk k 31.8.2001</t>
  </si>
  <si>
    <t>Věk k 31.8.2002</t>
  </si>
  <si>
    <t>Věk k 31.8.2003</t>
  </si>
  <si>
    <t>Věk k 31.8.2004</t>
  </si>
  <si>
    <t>Struktura přihláše- ných</t>
  </si>
  <si>
    <t>Struktura přijatých</t>
  </si>
  <si>
    <t xml:space="preserve">Struktura zapsa- ných </t>
  </si>
  <si>
    <t xml:space="preserve">Struktura přihláše- ných </t>
  </si>
  <si>
    <t>Struktura zapsa- ných</t>
  </si>
  <si>
    <t>Věk k 31.8.2005</t>
  </si>
  <si>
    <t>Věk k 31.8.2006</t>
  </si>
  <si>
    <t>VEK</t>
  </si>
  <si>
    <t>Věk k 31.8.2007</t>
  </si>
  <si>
    <t>Věk k 31.8.2008</t>
  </si>
  <si>
    <t>vek</t>
  </si>
  <si>
    <t>Věk k 31.8.2009</t>
  </si>
  <si>
    <t>Věk k 31.8.2010</t>
  </si>
  <si>
    <t>Count</t>
  </si>
  <si>
    <t>Věk k 31.8.2011</t>
  </si>
  <si>
    <t>Věk k 31.8.2012</t>
  </si>
  <si>
    <t>Věk k 31.8.2013</t>
  </si>
  <si>
    <t>věk k 31.8. příslušného roku</t>
  </si>
  <si>
    <t>Pohlaví</t>
  </si>
  <si>
    <t>Podíl přihlášek uchazečů,
kteří se dostavili
k přijímacímu řízení</t>
  </si>
  <si>
    <t>Počet přijetí</t>
  </si>
  <si>
    <t>Index přijetí</t>
  </si>
  <si>
    <t>Počet zapsání</t>
  </si>
  <si>
    <t>Počet zapsaných</t>
  </si>
  <si>
    <t>Index zapsání</t>
  </si>
  <si>
    <t>Úspěšnost uchazečů *</t>
  </si>
  <si>
    <t>SEX</t>
  </si>
  <si>
    <t>Muži</t>
  </si>
  <si>
    <t>Ženy</t>
  </si>
  <si>
    <t>muz</t>
  </si>
  <si>
    <t>zena</t>
  </si>
  <si>
    <t>pohlavi</t>
  </si>
  <si>
    <t>muži</t>
  </si>
  <si>
    <t>ženy</t>
  </si>
  <si>
    <t>Vysoká škola
Fakulta</t>
  </si>
  <si>
    <t>Počet podaných
 přihlášek</t>
  </si>
  <si>
    <t>Počet
 přihlášených</t>
  </si>
  <si>
    <t>Počet
přihlášených, kteří se dostavili k p. ř.</t>
  </si>
  <si>
    <t>Počet
 přijatých</t>
  </si>
  <si>
    <t>Počet
 zapsaných</t>
  </si>
  <si>
    <t xml:space="preserve">Počet přijatých / počet přihlášených </t>
  </si>
  <si>
    <r>
      <t>Úspěšnost uchazečů *</t>
    </r>
    <r>
      <rPr>
        <b/>
        <vertAlign val="superscript"/>
        <sz val="10"/>
        <rFont val="Arial Narrow"/>
        <family val="2"/>
        <charset val="238"/>
      </rPr>
      <t>)</t>
    </r>
  </si>
  <si>
    <t>RID</t>
  </si>
  <si>
    <t>11000</t>
  </si>
  <si>
    <t>11110</t>
  </si>
  <si>
    <t>1. lékařská fakulta  </t>
  </si>
  <si>
    <t>11120</t>
  </si>
  <si>
    <t>3. lékařská fakulta  </t>
  </si>
  <si>
    <t>11130</t>
  </si>
  <si>
    <t>2. lékařská fakulta  </t>
  </si>
  <si>
    <t>11140</t>
  </si>
  <si>
    <t>Lékařská fakulta v Plzni  </t>
  </si>
  <si>
    <t>11150</t>
  </si>
  <si>
    <t>Lékařská fakulta v Hradci Králové  </t>
  </si>
  <si>
    <t>11160</t>
  </si>
  <si>
    <t>Farmaceutická fakulta v Hradci Králové  </t>
  </si>
  <si>
    <t>11210</t>
  </si>
  <si>
    <t>Filozofická fakulta  </t>
  </si>
  <si>
    <t>11220</t>
  </si>
  <si>
    <t>Právnická fakulta  </t>
  </si>
  <si>
    <t>11230</t>
  </si>
  <si>
    <t>Fakulta sociálních věd  </t>
  </si>
  <si>
    <t>11240</t>
  </si>
  <si>
    <t>Fakulta humanitních studií**</t>
  </si>
  <si>
    <t>11260</t>
  </si>
  <si>
    <t>Katolická teologická fakulta  </t>
  </si>
  <si>
    <t>11270</t>
  </si>
  <si>
    <t>Evangelická teologická fakulta  </t>
  </si>
  <si>
    <t>11280</t>
  </si>
  <si>
    <t>Husitská teologická fakulta  </t>
  </si>
  <si>
    <t>11310</t>
  </si>
  <si>
    <t>Přírodovědecká fakulta  </t>
  </si>
  <si>
    <t>11320</t>
  </si>
  <si>
    <t>Matematicko-fyzikální fakulta  </t>
  </si>
  <si>
    <t>11410</t>
  </si>
  <si>
    <t>Pedagogická fakulta  </t>
  </si>
  <si>
    <t>11510</t>
  </si>
  <si>
    <t>Fakulta tělesné výchovy a sportu  </t>
  </si>
  <si>
    <t>Jihočeská univerzita v Českých Budějovicích</t>
  </si>
  <si>
    <t>12000</t>
  </si>
  <si>
    <t>12110</t>
  </si>
  <si>
    <t>Zdravotně sociální fakulta  </t>
  </si>
  <si>
    <t>12210</t>
  </si>
  <si>
    <t>12220</t>
  </si>
  <si>
    <t>Zemědělská fakulta  </t>
  </si>
  <si>
    <t>12260</t>
  </si>
  <si>
    <t>Teologická fakulta  </t>
  </si>
  <si>
    <t>12310</t>
  </si>
  <si>
    <t>12410</t>
  </si>
  <si>
    <t>12510</t>
  </si>
  <si>
    <t>Ekonomická fakulta  </t>
  </si>
  <si>
    <t>12520</t>
  </si>
  <si>
    <t>Fakulta rybářství a ochrany vod</t>
  </si>
  <si>
    <t>12900</t>
  </si>
  <si>
    <t>Celoškolské pracoviště</t>
  </si>
  <si>
    <t>Univerzita J. E. Purkyně v Ústí nad Labem</t>
  </si>
  <si>
    <t>13000</t>
  </si>
  <si>
    <t>Univerzita Jana Evangelisty Purkyně v Ústí nad Labem</t>
  </si>
  <si>
    <t>13410</t>
  </si>
  <si>
    <t>13420</t>
  </si>
  <si>
    <t>13430</t>
  </si>
  <si>
    <t>13440</t>
  </si>
  <si>
    <t>13450</t>
  </si>
  <si>
    <t>Fakulta zdravotnickcýh studií</t>
  </si>
  <si>
    <t>13510</t>
  </si>
  <si>
    <t>Fakulta sociálně ekonomická  </t>
  </si>
  <si>
    <t>13520</t>
  </si>
  <si>
    <t>Fakulta životního prostředí  </t>
  </si>
  <si>
    <t>13530</t>
  </si>
  <si>
    <t>Fakulta umění a designu  </t>
  </si>
  <si>
    <t>13900</t>
  </si>
  <si>
    <t>Masarykova univerzita</t>
  </si>
  <si>
    <t>14000</t>
  </si>
  <si>
    <t>14110</t>
  </si>
  <si>
    <t>Lékařská fakulta</t>
  </si>
  <si>
    <t>14210</t>
  </si>
  <si>
    <t>Filozofická fakulta</t>
  </si>
  <si>
    <t>14220</t>
  </si>
  <si>
    <t>Právnická fakulta</t>
  </si>
  <si>
    <t>14230</t>
  </si>
  <si>
    <t>Fakulta sociálních studií</t>
  </si>
  <si>
    <t>14310</t>
  </si>
  <si>
    <t>Přírodovědecká fakulta</t>
  </si>
  <si>
    <t>14330</t>
  </si>
  <si>
    <t>Fakulta informatiky</t>
  </si>
  <si>
    <t>14410</t>
  </si>
  <si>
    <t>Pedagogická fakulta</t>
  </si>
  <si>
    <t>14510</t>
  </si>
  <si>
    <t>Fakulta sportovních studií</t>
  </si>
  <si>
    <t>14560</t>
  </si>
  <si>
    <t>Ekonomicko-správní fakulta</t>
  </si>
  <si>
    <t>Univerzita Palackého v Olomouci</t>
  </si>
  <si>
    <t>15000</t>
  </si>
  <si>
    <t>15110</t>
  </si>
  <si>
    <t>Lékařská fakulta  </t>
  </si>
  <si>
    <t>Fakulta zdravotnických věd  </t>
  </si>
  <si>
    <t>15210</t>
  </si>
  <si>
    <t>15220</t>
  </si>
  <si>
    <t>15260</t>
  </si>
  <si>
    <t>Cyrilometodějská teologická fakulta  </t>
  </si>
  <si>
    <t>15310</t>
  </si>
  <si>
    <t>15410</t>
  </si>
  <si>
    <t>15510</t>
  </si>
  <si>
    <t>Fakulta tělesné kultury  </t>
  </si>
  <si>
    <t>Veterinární a farmaceutická univerzita Brno</t>
  </si>
  <si>
    <t>16000</t>
  </si>
  <si>
    <t>16170</t>
  </si>
  <si>
    <t>Fakulta veterinárního lékařství  </t>
  </si>
  <si>
    <t>16270</t>
  </si>
  <si>
    <t>Fakulta veterinární hygieny a ekologie  </t>
  </si>
  <si>
    <t>16370</t>
  </si>
  <si>
    <t>Farmaceutická fakulta  </t>
  </si>
  <si>
    <t>17000</t>
  </si>
  <si>
    <t>17110</t>
  </si>
  <si>
    <t>17250</t>
  </si>
  <si>
    <t>17310</t>
  </si>
  <si>
    <t>17450</t>
  </si>
  <si>
    <t>17500</t>
  </si>
  <si>
    <t>Fakulta umění  </t>
  </si>
  <si>
    <t>17900</t>
  </si>
  <si>
    <t>Univerzita Hradec Králové</t>
  </si>
  <si>
    <t>18000</t>
  </si>
  <si>
    <t>18440</t>
  </si>
  <si>
    <t>18450</t>
  </si>
  <si>
    <t>Fakulta informatiky a managementu</t>
  </si>
  <si>
    <t>18460</t>
  </si>
  <si>
    <t>18470</t>
  </si>
  <si>
    <t>18900</t>
  </si>
  <si>
    <t>Slezská univerzita v Opavě</t>
  </si>
  <si>
    <t>19000</t>
  </si>
  <si>
    <t>19240</t>
  </si>
  <si>
    <t>Filozoficko-přírodovědecká fakulta v Opavě</t>
  </si>
  <si>
    <t>19510</t>
  </si>
  <si>
    <t>Fakulta veřejných politik v Opavě  </t>
  </si>
  <si>
    <t>19520</t>
  </si>
  <si>
    <t>Obchodně podnikatelská fakulta v Karviné  </t>
  </si>
  <si>
    <t>19900</t>
  </si>
  <si>
    <t>České vysoké učení technické v Praze</t>
  </si>
  <si>
    <t>21000</t>
  </si>
  <si>
    <t>21110</t>
  </si>
  <si>
    <t>Fakulta stavební  </t>
  </si>
  <si>
    <t>21220</t>
  </si>
  <si>
    <t>Fakulta strojní  </t>
  </si>
  <si>
    <t>21230</t>
  </si>
  <si>
    <t>Fakulta elektrotechnická  </t>
  </si>
  <si>
    <t>21240</t>
  </si>
  <si>
    <t>Fakulta informačních technologií  </t>
  </si>
  <si>
    <t>21260</t>
  </si>
  <si>
    <t>Fakulta dopravní  </t>
  </si>
  <si>
    <t>21340</t>
  </si>
  <si>
    <t>Fakulta jaderná a fyzikálně inženýrská  </t>
  </si>
  <si>
    <t>21450</t>
  </si>
  <si>
    <t>Fakulta architektury  </t>
  </si>
  <si>
    <t>21460</t>
  </si>
  <si>
    <t>Fakulta biomedicínského inženýrství  </t>
  </si>
  <si>
    <t>21900</t>
  </si>
  <si>
    <t>Vysoká škola chemicko-technologická v Praze</t>
  </si>
  <si>
    <t>22000</t>
  </si>
  <si>
    <t>22310</t>
  </si>
  <si>
    <t>Fakulta chemické technologie  </t>
  </si>
  <si>
    <t>22320</t>
  </si>
  <si>
    <t>Fakulta technologie ochrany prostředí  </t>
  </si>
  <si>
    <t>22330</t>
  </si>
  <si>
    <t>Fakulta potravinářské a biochemické technologie  </t>
  </si>
  <si>
    <t>22340</t>
  </si>
  <si>
    <t>Fakulta chemicko-inženýrská  </t>
  </si>
  <si>
    <t>22900</t>
  </si>
  <si>
    <t>Západočeská univerzita v Plzni</t>
  </si>
  <si>
    <t>23000</t>
  </si>
  <si>
    <t>23210</t>
  </si>
  <si>
    <t>23220</t>
  </si>
  <si>
    <t>23310</t>
  </si>
  <si>
    <t>Fakulta zdravotnických studií  </t>
  </si>
  <si>
    <t>23320</t>
  </si>
  <si>
    <t>Fakulta právnická  </t>
  </si>
  <si>
    <t>23330</t>
  </si>
  <si>
    <t>Fakulta filozofická***</t>
  </si>
  <si>
    <t>23420</t>
  </si>
  <si>
    <t>Fakulta pedagogická  </t>
  </si>
  <si>
    <t>23510</t>
  </si>
  <si>
    <t>Fakulta ekonomická  </t>
  </si>
  <si>
    <t>23520</t>
  </si>
  <si>
    <t>Fakulta aplikovaných věd  </t>
  </si>
  <si>
    <t>23900</t>
  </si>
  <si>
    <t>Technická univerzita v Liberci</t>
  </si>
  <si>
    <t>24000</t>
  </si>
  <si>
    <t>24210</t>
  </si>
  <si>
    <t>24220</t>
  </si>
  <si>
    <t>Fakulta mechatroniky, informatiky a mezioborových studií  </t>
  </si>
  <si>
    <t>24310</t>
  </si>
  <si>
    <t>24410</t>
  </si>
  <si>
    <t>Fakulta textilní  </t>
  </si>
  <si>
    <t>24510</t>
  </si>
  <si>
    <t>Fakulta přírodovědně-humanitní a pedagogická  </t>
  </si>
  <si>
    <t>24520</t>
  </si>
  <si>
    <t>Fakulta umění a architektury  </t>
  </si>
  <si>
    <t>24900</t>
  </si>
  <si>
    <t>Univerzita Pardubice</t>
  </si>
  <si>
    <t>25000</t>
  </si>
  <si>
    <t>25110</t>
  </si>
  <si>
    <t>Fakulta restaurování****</t>
  </si>
  <si>
    <t>25210</t>
  </si>
  <si>
    <t>Fakulta filozofická  </t>
  </si>
  <si>
    <t>25310</t>
  </si>
  <si>
    <t>Fakulta chemicko-technologická  </t>
  </si>
  <si>
    <t>25410</t>
  </si>
  <si>
    <t>Fakulta ekonomicko-správní  </t>
  </si>
  <si>
    <t>25510</t>
  </si>
  <si>
    <t>Dopravní fakulta Jana Pernera  </t>
  </si>
  <si>
    <t>25520</t>
  </si>
  <si>
    <t>Fakulta elektrotechniky a informatiky  </t>
  </si>
  <si>
    <t>25900</t>
  </si>
  <si>
    <t>Vysoké učení technické v Brně</t>
  </si>
  <si>
    <t>26000</t>
  </si>
  <si>
    <t>26110</t>
  </si>
  <si>
    <t>26210</t>
  </si>
  <si>
    <t>Fakulta strojního inženýrství  </t>
  </si>
  <si>
    <t>26220</t>
  </si>
  <si>
    <t>Fakulta elektrotechniky a komunikačních technologií  </t>
  </si>
  <si>
    <t>26230</t>
  </si>
  <si>
    <t>26310</t>
  </si>
  <si>
    <t>Fakulta chemická  </t>
  </si>
  <si>
    <t>26410</t>
  </si>
  <si>
    <t>26420</t>
  </si>
  <si>
    <t>Fakulta výtvarných umění  </t>
  </si>
  <si>
    <t>26510</t>
  </si>
  <si>
    <t>Fakulta podnikatelská  </t>
  </si>
  <si>
    <t>26520</t>
  </si>
  <si>
    <t>Fakulta technologická Zlín</t>
  </si>
  <si>
    <t>26530</t>
  </si>
  <si>
    <t>Fakulta managementu a ekon. Zlín</t>
  </si>
  <si>
    <t>Vysoká škola báňská - Technická univerzita Ostrava</t>
  </si>
  <si>
    <t>27000</t>
  </si>
  <si>
    <t>27120</t>
  </si>
  <si>
    <t>27200</t>
  </si>
  <si>
    <t>Fakulta bezpečnostního inženýrství  </t>
  </si>
  <si>
    <t>27230</t>
  </si>
  <si>
    <t>27240</t>
  </si>
  <si>
    <t>27350</t>
  </si>
  <si>
    <t>Hornicko-geologická fakulta  </t>
  </si>
  <si>
    <t>27360</t>
  </si>
  <si>
    <t>Fakulta metalurgie a materiálového inženýrství  </t>
  </si>
  <si>
    <t>27510</t>
  </si>
  <si>
    <t>27900</t>
  </si>
  <si>
    <t>Univerzita Tomáše Bati ve Zlíně</t>
  </si>
  <si>
    <t>28000</t>
  </si>
  <si>
    <t>28110</t>
  </si>
  <si>
    <t>Fakulta technologická  </t>
  </si>
  <si>
    <t>28120</t>
  </si>
  <si>
    <t>Fakulta managementu a ekonomiky  </t>
  </si>
  <si>
    <t>28130</t>
  </si>
  <si>
    <t>Fakulta multimediálních komunikací  </t>
  </si>
  <si>
    <t>28140</t>
  </si>
  <si>
    <t>Fakulta aplikované informatiky  </t>
  </si>
  <si>
    <t>28150</t>
  </si>
  <si>
    <t>Fakulta humanitních studií  </t>
  </si>
  <si>
    <t>28160</t>
  </si>
  <si>
    <t>Fakulta logistiky a krizového řízení  </t>
  </si>
  <si>
    <t>28900</t>
  </si>
  <si>
    <t>Vysoká škola ekonomická v Praze</t>
  </si>
  <si>
    <t>31000</t>
  </si>
  <si>
    <t>31110</t>
  </si>
  <si>
    <t>Fakulta financí a účetnictví  </t>
  </si>
  <si>
    <t>31120</t>
  </si>
  <si>
    <t>Fakulta mezinárodních vztahů  </t>
  </si>
  <si>
    <t>31130</t>
  </si>
  <si>
    <t>Fakulta podnikohospodářská  </t>
  </si>
  <si>
    <t>31140</t>
  </si>
  <si>
    <t>Fakulta informatiky a statistiky  </t>
  </si>
  <si>
    <t>31150</t>
  </si>
  <si>
    <t>Národohospodářská fakulta</t>
  </si>
  <si>
    <t>31160</t>
  </si>
  <si>
    <t>Fakulta managementu v Jindřichově Hradci  </t>
  </si>
  <si>
    <t>Česká zemědělská univerzita v Praze</t>
  </si>
  <si>
    <t>41000</t>
  </si>
  <si>
    <t>41110</t>
  </si>
  <si>
    <t>Provozně ekonomická fakulta  </t>
  </si>
  <si>
    <t>41210</t>
  </si>
  <si>
    <t>Fakulta agrobiologie, potravinových a přírodních zdrojů  </t>
  </si>
  <si>
    <t>41310</t>
  </si>
  <si>
    <t>Technická fakulta  </t>
  </si>
  <si>
    <t>Fakulta lesnická a dřevařská  </t>
  </si>
  <si>
    <t>41330</t>
  </si>
  <si>
    <t>41410</t>
  </si>
  <si>
    <t>Fakulta lesnická a environmentální</t>
  </si>
  <si>
    <t>41900</t>
  </si>
  <si>
    <t>Mendelova univerzita v Brně</t>
  </si>
  <si>
    <t>43000</t>
  </si>
  <si>
    <t>43110</t>
  </si>
  <si>
    <t>43210</t>
  </si>
  <si>
    <t>Agronomická fakulta  </t>
  </si>
  <si>
    <t>Fakulta regionálního rozvoje a mezinárodních studií  </t>
  </si>
  <si>
    <t>43410</t>
  </si>
  <si>
    <t>Lesnická a dřevařská fakulta  </t>
  </si>
  <si>
    <t>43510</t>
  </si>
  <si>
    <t>Zahradnická fakulta (Lednice)</t>
  </si>
  <si>
    <t>43900</t>
  </si>
  <si>
    <t>Akademie múzických umění v Praze</t>
  </si>
  <si>
    <t>51000</t>
  </si>
  <si>
    <t>51110</t>
  </si>
  <si>
    <t>Hudební a taneční fakulta  </t>
  </si>
  <si>
    <t>51210</t>
  </si>
  <si>
    <t>Divadelní fakulta  </t>
  </si>
  <si>
    <t>51310</t>
  </si>
  <si>
    <t>Filmová a televizní fakulta  </t>
  </si>
  <si>
    <t>Akademie výtvarných umění v Praze</t>
  </si>
  <si>
    <t>52000</t>
  </si>
  <si>
    <t>Vysoká škola umělecko-průmyslová v Praze</t>
  </si>
  <si>
    <t>53000</t>
  </si>
  <si>
    <t>Janáčkova akademie múzických umění v Brně</t>
  </si>
  <si>
    <t>54000</t>
  </si>
  <si>
    <t>54510</t>
  </si>
  <si>
    <t xml:space="preserve">Hudební fakulta </t>
  </si>
  <si>
    <t>54530</t>
  </si>
  <si>
    <t>Divadelní fakulta</t>
  </si>
  <si>
    <t>Vysoká škola polytechnická Jihlava</t>
  </si>
  <si>
    <t>55000</t>
  </si>
  <si>
    <t>Vysoká škola technická a ekonomická v Českých Budějovicích</t>
  </si>
  <si>
    <t>56000</t>
  </si>
  <si>
    <t>61000</t>
  </si>
  <si>
    <t>Evropský polytechnický institut, s.r.o., Osvobození 699, Kunovice, 686 04</t>
  </si>
  <si>
    <t>62000</t>
  </si>
  <si>
    <t>63000</t>
  </si>
  <si>
    <t>Vysoká škola finanční a správní, o.p.s., Estonská 500, Praha 10, 100 00</t>
  </si>
  <si>
    <t>64000</t>
  </si>
  <si>
    <t>Vysoká škola Karlovy Vary, o.p.s., T.G.Masaryka 3, Karlovy Vary, 360 01</t>
  </si>
  <si>
    <t>65000</t>
  </si>
  <si>
    <t xml:space="preserve">ŠKODA  AUTO a.s. Vysoká škola, Tř. V. Klementa 869, Mladá Boleslav, 293 60 </t>
  </si>
  <si>
    <t>66000</t>
  </si>
  <si>
    <t>67000</t>
  </si>
  <si>
    <t>Vysoká škola podnikání, a.s., Michálkovická 1810/181, Ostrava, 710 00</t>
  </si>
  <si>
    <t>68000</t>
  </si>
  <si>
    <t xml:space="preserve"> Institut restaurování a konzervačních
  technik Litomyšl, o.p.s,
 Jiráskova 3, Litomyšl, 570 00</t>
  </si>
  <si>
    <t>69000</t>
  </si>
  <si>
    <t xml:space="preserve">Vysoká škola aplikovaného práva, s.r.o., Chomutovická 1443, Praha 11, 149 00 </t>
  </si>
  <si>
    <t>6A000</t>
  </si>
  <si>
    <t xml:space="preserve">Vysoká škola ekonomie a mangementu, o.p.s., Nárožní 2600/9a, Praha 5, 158 00 </t>
  </si>
  <si>
    <t>6B000</t>
  </si>
  <si>
    <t xml:space="preserve"> Vysoká škola v Plzni, o.p.s.,
 Ledecká 35, Plzeň, 323 21 </t>
  </si>
  <si>
    <t>6C000</t>
  </si>
  <si>
    <t>6D000</t>
  </si>
  <si>
    <t xml:space="preserve">Vysoká škola manažerské informatiky a ekonomiky, a.s., Vltavská 14/585, Praha 5, 150 00 </t>
  </si>
  <si>
    <t>6E000</t>
  </si>
  <si>
    <t>6F000</t>
  </si>
  <si>
    <t xml:space="preserve"> Mezinárodní baptistický teologický
 seminář Evropské baptistické federace, o.p.s.,
 Nad Habrovkou 3, Praha 6, 164 00 </t>
  </si>
  <si>
    <t>6G000</t>
  </si>
  <si>
    <t xml:space="preserve">Středočeský vysokoškolský institut, s.r.o., C.Boudy 1444, Kladno, 272 02 </t>
  </si>
  <si>
    <t>6H000</t>
  </si>
  <si>
    <t>6J000</t>
  </si>
  <si>
    <t>6K000</t>
  </si>
  <si>
    <t>Rašínova vysoká škola, s.r.o., Hudcova 367/78, Brno, 612 00</t>
  </si>
  <si>
    <t>6L000</t>
  </si>
  <si>
    <t xml:space="preserve">Vysoká škola regionálního rozvoje, s.r.o., Žalanského 68/54, Praha 17, 163 00 </t>
  </si>
  <si>
    <t>6M000</t>
  </si>
  <si>
    <t>6N000</t>
  </si>
  <si>
    <t>6P000</t>
  </si>
  <si>
    <t>6Q000</t>
  </si>
  <si>
    <t>6R000</t>
  </si>
  <si>
    <t>6S000</t>
  </si>
  <si>
    <t>B.I.B.S., a.s., Lidická 960/81, Brno, 602 00</t>
  </si>
  <si>
    <t>6T000</t>
  </si>
  <si>
    <t xml:space="preserve">Vysoká škola cestovního ruchu, hotelnictví a lázeňství, s.r.o., Senovážné nám. 23, Praha 1,110 00 </t>
  </si>
  <si>
    <t>70000</t>
  </si>
  <si>
    <t>Soukromá vysoká škola ekonomických studií, s.r.o., Lindnerova 575/1, Praha 8, 180 00</t>
  </si>
  <si>
    <t>71000</t>
  </si>
  <si>
    <t>72000</t>
  </si>
  <si>
    <t>73000</t>
  </si>
  <si>
    <t xml:space="preserve"> Pražský technologický institut, o.p.s.
V Sedlci 229/14a, Praha 6</t>
  </si>
  <si>
    <t>74000</t>
  </si>
  <si>
    <t>75000</t>
  </si>
  <si>
    <t>76000</t>
  </si>
  <si>
    <t>77000</t>
  </si>
  <si>
    <t>78000</t>
  </si>
  <si>
    <t>79000</t>
  </si>
  <si>
    <t>Západomoravská vysoká škola Třebíč, o.p.s., Okružní 935, Třebíč, 674 01</t>
  </si>
  <si>
    <t>7A000</t>
  </si>
  <si>
    <t>7B000</t>
  </si>
  <si>
    <t>7C000</t>
  </si>
  <si>
    <t>7D000</t>
  </si>
  <si>
    <t>7E000</t>
  </si>
  <si>
    <t>Vysoká škola aplikovaných ekonomických studií, s.r.o., Jana Růžičky 1143/11, Praha 4, 148 00</t>
  </si>
  <si>
    <t>7F000</t>
  </si>
  <si>
    <t>7G000</t>
  </si>
  <si>
    <t xml:space="preserve">Vysoká škola realitní - Institut Franka Dysona s.r.o., Masná 229/34, Brno, 602 00  </t>
  </si>
  <si>
    <t>7H900</t>
  </si>
  <si>
    <t>7J900</t>
  </si>
  <si>
    <t xml:space="preserve">Vysoká škola cestovního ruchu a teritoriálních studií v Praze, spol. s.r.o., Holešovice, Ortenovo nám. 34, Praha 7, 170 00 </t>
  </si>
  <si>
    <t>7K900</t>
  </si>
  <si>
    <t>7L900</t>
  </si>
  <si>
    <t>7M900</t>
  </si>
  <si>
    <t>7N900</t>
  </si>
  <si>
    <t>* Počet přijatých / počet uchazečů, kteří se dostavili k přijímacímu řízení x 100.</t>
  </si>
  <si>
    <t>** Dříve Institut základů vzdělanosti.</t>
  </si>
  <si>
    <t>*** Do 3.1.2005 Fakulta  humanitních studií.</t>
  </si>
  <si>
    <t>****Dříve soukromá VŠ IKRT Litomyšl.</t>
  </si>
  <si>
    <t>7P900</t>
  </si>
  <si>
    <t>Archip s.r.o.</t>
  </si>
  <si>
    <t>2014/15</t>
  </si>
  <si>
    <t>Věk k 31.8.2014</t>
  </si>
  <si>
    <t>2015/16</t>
  </si>
  <si>
    <t>ART &amp; DESIGN INSTITUT, s.r.o.</t>
  </si>
  <si>
    <t>7R900</t>
  </si>
  <si>
    <t>7S900</t>
  </si>
  <si>
    <t>Fakulta designu a umění L. Sutnara </t>
  </si>
  <si>
    <t>International ART CAMPUS Prague, s.r.o.</t>
  </si>
  <si>
    <t>Věk k 31.8.2015</t>
  </si>
  <si>
    <t>2016/17</t>
  </si>
  <si>
    <t>Věk k 31.8.2016</t>
  </si>
  <si>
    <t>Univerzita Karlova</t>
  </si>
  <si>
    <t>Fakulta zdravotnických studií</t>
  </si>
  <si>
    <t>Ostravská univerzita</t>
  </si>
  <si>
    <t>Fakulta tropického zemědělství</t>
  </si>
  <si>
    <t>Vysoká škola finanční a správní, a.s.</t>
  </si>
  <si>
    <t>7T900</t>
  </si>
  <si>
    <t>7U900</t>
  </si>
  <si>
    <t>maturanti v předch. roce (denní forma vzdělávání)</t>
  </si>
  <si>
    <t>2017/18</t>
  </si>
  <si>
    <t>Počet přihlášek, přihlášených a přijatých ke studiu na VŠ podle skupin studijních programů v letech 1999/00–2017/18</t>
  </si>
  <si>
    <t>Věk k 31.8.2017</t>
  </si>
  <si>
    <t>18 a méně</t>
  </si>
  <si>
    <t>Vysoká škola hotelová v Praze 8</t>
  </si>
  <si>
    <t>University of New York in Prague</t>
  </si>
  <si>
    <t>VŠ mezinárodních a veřejných vztahů</t>
  </si>
  <si>
    <t>Academia Rerum Civilium</t>
  </si>
  <si>
    <t>VŠ evropských a regionálních studií</t>
  </si>
  <si>
    <t>VŠ TV a sportu Palestra</t>
  </si>
  <si>
    <t>Vysoká škola logistiky</t>
  </si>
  <si>
    <t>Vysoká škola zdravotnická</t>
  </si>
  <si>
    <t>Vysoká škola obchodní v Praze</t>
  </si>
  <si>
    <t>Metropolitní univerzita Praha, o.p.s.</t>
  </si>
  <si>
    <t>Univerzita Jana Amose Komenského</t>
  </si>
  <si>
    <t>Vysoká škola Karla Engliše v Brně</t>
  </si>
  <si>
    <t>Pražská VŠ psychosociálních studií</t>
  </si>
  <si>
    <t>Soukromá vysoká škola ekonomická Znojmo</t>
  </si>
  <si>
    <t>Moravská vysoká škola Olomouc</t>
  </si>
  <si>
    <t>VŠ obchodní a hotelová</t>
  </si>
  <si>
    <t>VŠ aplikované psychologie , s.r.o.</t>
  </si>
  <si>
    <t>ŠKODA AUTO VŠ, o.p.s.</t>
  </si>
  <si>
    <t>VŠ kreativní komunikace</t>
  </si>
  <si>
    <t>Vysoká škola ekonomie a managementu, a.s.</t>
  </si>
  <si>
    <t>7V900</t>
  </si>
  <si>
    <t>2018/19</t>
  </si>
  <si>
    <t>Od roku 2018 se postupně přechází na oborovou klasifikaci ISCED. Pokračování v těchto tabulkách již není možné.</t>
  </si>
  <si>
    <t>Věk k 31.8.2018</t>
  </si>
  <si>
    <t>Fakulta strojního inženýrství </t>
  </si>
  <si>
    <t>2019/20</t>
  </si>
  <si>
    <t>2019/120</t>
  </si>
  <si>
    <t>Věk k 31.8.2019</t>
  </si>
  <si>
    <t>2020/21</t>
  </si>
  <si>
    <t>Věk k 31.8.2020</t>
  </si>
  <si>
    <t>Farmaceutická fakulta</t>
  </si>
  <si>
    <t>2021/22</t>
  </si>
  <si>
    <t>reálný počet přijatých/počet přihlášených</t>
  </si>
  <si>
    <t>reálná úspěšnost uchazečů</t>
  </si>
  <si>
    <t>AMBIS vysoká škola, a.s.</t>
  </si>
  <si>
    <t>Vysoká škola NEWTON, a.s.</t>
  </si>
  <si>
    <t>Unicorn Vysoká škola s.r.o.</t>
  </si>
  <si>
    <t>Prague City Vysoká Škola s.r.o.</t>
  </si>
  <si>
    <t>2022/23</t>
  </si>
  <si>
    <t>Věk k 31.8.2021</t>
  </si>
  <si>
    <t>Věk k 31.8.2022</t>
  </si>
  <si>
    <t>2023/24</t>
  </si>
  <si>
    <t>Filmová akademie Miroslava Ondříčka v Písku</t>
  </si>
  <si>
    <t>Evropská výzkumná univerzita z.ú.</t>
  </si>
  <si>
    <t>Panevropská univerzita, a.s.</t>
  </si>
  <si>
    <t>* Do roku 2000 populace 18letých, od roku 2001 populace 19letých. V roce 2022 a 2023 jsou do stavu započítány i osoby s ukrajinským státním občanstvím v režimu dočasné ochrany.</t>
  </si>
  <si>
    <t>2024/25</t>
  </si>
  <si>
    <t>Věk k 31.8.2023</t>
  </si>
  <si>
    <t>Věk k 31.8.2024</t>
  </si>
  <si>
    <t>6U000</t>
  </si>
  <si>
    <t>Anglo-americká vysoká škola, a.s.</t>
  </si>
  <si>
    <t>Vysoká škola Sting, o.p.s.</t>
  </si>
  <si>
    <t>Anglo-americká vysoká škola, z.ú.</t>
  </si>
  <si>
    <t>2025/26</t>
  </si>
  <si>
    <t>Počet podaných přihlášek, přihlášených, přijatých a zapsaných na VŠ v letech 1999/00–2025/26 (v tis.)</t>
  </si>
  <si>
    <t>Počet přihlášených a zapsaných na VŠ ve vztahu k populaci 18/19letých a k počtu maturantů
(v denní formě vzdělávání) v letech 1999/00–2025/26 (v tis.)</t>
  </si>
  <si>
    <t>Počet přihlášených a zapsaných do prezenční formy studia VŠ ve vztahu k populaci 18/19letých a k počtu maturantů
(v denní formě vzdělávání) v letech 1999/00–2025/26 (v tis.)</t>
  </si>
  <si>
    <t>Počet podaných přihlášek, přihlášených, přijatých a zapsaných na VŠ v letech 1999/00–2025/26</t>
  </si>
  <si>
    <t>Uchazeči podle počtu podaných přihlášek 1999/00–2025/26</t>
  </si>
  <si>
    <t>Struktura uchazečů podle počtu podaných přihlášek 1999/00–2025/26</t>
  </si>
  <si>
    <t>Základní přehled o přijímacím řízení na vysoké školy podle druhu studia v letech 2001/02–2025/26</t>
  </si>
  <si>
    <t>Struktura přihlášených,  přijatých a zapsaných na VŠ podle věku a formy studia pro roky 1999/00–2025/2026</t>
  </si>
  <si>
    <t>Struktura přihlášených uchazečů o prezenční studium na VŠ podle věku v letech 1999/00–2025/26</t>
  </si>
  <si>
    <t>Uchazeči o prezenční studium na VŠ podle věku v letech 1999/00–2025/26</t>
  </si>
  <si>
    <t>CEVRO univerzita, z.ú.</t>
  </si>
  <si>
    <t>Přijímací řízení na VŠ – podle fakult v letech 2010/11–2025/26</t>
  </si>
  <si>
    <t>Počet přihlášek, přihlášených, přijetí, přijatých, zapsání a zapsaných podle pohlaví v letech 1999/00–2025/26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</si>
</sst>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K_č_-;\-* #,##0.00\ _K_č_-;_-* &quot;-&quot;??\ _K_č_-;_-@_-"/>
    <numFmt numFmtId="165" formatCode="0.0"/>
    <numFmt numFmtId="166" formatCode="#,##0.0"/>
    <numFmt numFmtId="167" formatCode="0.0%"/>
    <numFmt numFmtId="168" formatCode="#,##0;;\-"/>
    <numFmt numFmtId="169" formatCode="0.0%;;\-"/>
    <numFmt numFmtId="170" formatCode="#,##0.00;;\-"/>
    <numFmt numFmtId="171" formatCode="0.000000%"/>
    <numFmt numFmtId="172" formatCode="_(* #,##0.00_);_(* \(#,##0.00\);_(* &quot;-&quot;??_);_(@_)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Narrow"/>
      <family val="2"/>
    </font>
    <font>
      <sz val="10"/>
      <color indexed="9"/>
      <name val="Arial Narrow"/>
      <family val="2"/>
      <charset val="238"/>
    </font>
    <font>
      <sz val="10"/>
      <name val="Arial CE"/>
    </font>
    <font>
      <b/>
      <sz val="9.9"/>
      <name val="Arial Narrow"/>
      <family val="2"/>
      <charset val="238"/>
    </font>
    <font>
      <b/>
      <sz val="9.5"/>
      <name val="Arial Narrow"/>
      <family val="2"/>
      <charset val="238"/>
    </font>
    <font>
      <sz val="9"/>
      <name val="Arial Narrow"/>
      <family val="2"/>
      <charset val="238"/>
    </font>
    <font>
      <sz val="10"/>
      <color indexed="10"/>
      <name val="Arial Narrow"/>
      <family val="2"/>
      <charset val="238"/>
    </font>
    <font>
      <sz val="9"/>
      <name val="Arial CE"/>
    </font>
    <font>
      <b/>
      <sz val="10"/>
      <color indexed="9"/>
      <name val="Arial Narrow"/>
      <family val="2"/>
      <charset val="238"/>
    </font>
    <font>
      <b/>
      <sz val="10"/>
      <name val="Arial Narrow"/>
      <family val="2"/>
    </font>
    <font>
      <sz val="12"/>
      <name val="Arial Narrow"/>
      <family val="2"/>
    </font>
    <font>
      <sz val="12"/>
      <color indexed="10"/>
      <name val="Arial Narrow"/>
      <family val="2"/>
    </font>
    <font>
      <sz val="10"/>
      <color indexed="10"/>
      <name val="Arial Narrow"/>
      <family val="2"/>
    </font>
    <font>
      <sz val="10"/>
      <color indexed="9"/>
      <name val="Arial Narrow"/>
      <family val="2"/>
    </font>
    <font>
      <b/>
      <sz val="10"/>
      <color indexed="10"/>
      <name val="Arial Narrow"/>
      <family val="2"/>
    </font>
    <font>
      <sz val="10"/>
      <color rgb="FFFF0000"/>
      <name val="Arial Narrow"/>
      <family val="2"/>
      <charset val="238"/>
    </font>
    <font>
      <sz val="10"/>
      <color theme="0"/>
      <name val="Arial Narrow"/>
      <family val="2"/>
      <charset val="238"/>
    </font>
    <font>
      <b/>
      <sz val="10"/>
      <color theme="0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sz val="10"/>
      <name val="Times New Roman CE"/>
      <charset val="238"/>
    </font>
    <font>
      <sz val="11"/>
      <color rgb="FF9C6500"/>
      <name val="Arial Narrow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</fills>
  <borders count="23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172" fontId="6" fillId="0" borderId="0" applyFont="0" applyFill="0" applyBorder="0" applyAlignment="0" applyProtection="0"/>
    <xf numFmtId="0" fontId="24" fillId="4" borderId="0" applyNumberFormat="0" applyBorder="0" applyAlignment="0" applyProtection="0"/>
    <xf numFmtId="0" fontId="23" fillId="0" borderId="0"/>
    <xf numFmtId="9" fontId="6" fillId="0" borderId="0" applyFont="0" applyFill="0" applyBorder="0" applyAlignment="0" applyProtection="0"/>
    <xf numFmtId="0" fontId="25" fillId="0" borderId="0"/>
  </cellStyleXfs>
  <cellXfs count="73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0" xfId="0" quotePrefix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2" fillId="0" borderId="0" xfId="0" applyFont="1"/>
    <xf numFmtId="3" fontId="2" fillId="2" borderId="1" xfId="0" applyNumberFormat="1" applyFont="1" applyFill="1" applyBorder="1" applyAlignment="1">
      <alignment horizontal="centerContinuous" vertical="center"/>
    </xf>
    <xf numFmtId="3" fontId="2" fillId="2" borderId="2" xfId="0" applyNumberFormat="1" applyFont="1" applyFill="1" applyBorder="1" applyAlignment="1">
      <alignment horizontal="center"/>
    </xf>
    <xf numFmtId="49" fontId="2" fillId="2" borderId="3" xfId="0" quotePrefix="1" applyNumberFormat="1" applyFont="1" applyFill="1" applyBorder="1" applyAlignment="1">
      <alignment horizontal="center"/>
    </xf>
    <xf numFmtId="49" fontId="2" fillId="2" borderId="4" xfId="0" quotePrefix="1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left" indent="1"/>
    </xf>
    <xf numFmtId="166" fontId="3" fillId="3" borderId="7" xfId="0" applyNumberFormat="1" applyFont="1" applyFill="1" applyBorder="1" applyAlignment="1">
      <alignment horizontal="right"/>
    </xf>
    <xf numFmtId="166" fontId="3" fillId="3" borderId="8" xfId="0" applyNumberFormat="1" applyFont="1" applyFill="1" applyBorder="1" applyAlignment="1">
      <alignment horizontal="right"/>
    </xf>
    <xf numFmtId="166" fontId="3" fillId="3" borderId="9" xfId="0" applyNumberFormat="1" applyFont="1" applyFill="1" applyBorder="1" applyAlignment="1">
      <alignment horizontal="right"/>
    </xf>
    <xf numFmtId="166" fontId="3" fillId="3" borderId="10" xfId="0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horizontal="left" indent="1"/>
    </xf>
    <xf numFmtId="166" fontId="3" fillId="3" borderId="12" xfId="0" applyNumberFormat="1" applyFont="1" applyFill="1" applyBorder="1" applyAlignment="1">
      <alignment horizontal="right"/>
    </xf>
    <xf numFmtId="166" fontId="3" fillId="3" borderId="13" xfId="0" applyNumberFormat="1" applyFont="1" applyFill="1" applyBorder="1" applyAlignment="1">
      <alignment horizontal="right"/>
    </xf>
    <xf numFmtId="166" fontId="3" fillId="3" borderId="14" xfId="0" applyNumberFormat="1" applyFont="1" applyFill="1" applyBorder="1" applyAlignment="1">
      <alignment horizontal="right"/>
    </xf>
    <xf numFmtId="166" fontId="3" fillId="3" borderId="15" xfId="0" applyNumberFormat="1" applyFont="1" applyFill="1" applyBorder="1" applyAlignment="1">
      <alignment horizontal="right"/>
    </xf>
    <xf numFmtId="3" fontId="2" fillId="2" borderId="11" xfId="0" quotePrefix="1" applyNumberFormat="1" applyFont="1" applyFill="1" applyBorder="1" applyAlignment="1">
      <alignment horizontal="left" wrapText="1" indent="1"/>
    </xf>
    <xf numFmtId="167" fontId="3" fillId="0" borderId="0" xfId="2" applyNumberFormat="1" applyFont="1"/>
    <xf numFmtId="167" fontId="3" fillId="0" borderId="0" xfId="0" applyNumberFormat="1" applyFont="1"/>
    <xf numFmtId="3" fontId="2" fillId="2" borderId="16" xfId="0" applyNumberFormat="1" applyFont="1" applyFill="1" applyBorder="1" applyAlignment="1">
      <alignment horizontal="left" indent="1"/>
    </xf>
    <xf numFmtId="166" fontId="3" fillId="3" borderId="17" xfId="0" applyNumberFormat="1" applyFont="1" applyFill="1" applyBorder="1" applyAlignment="1">
      <alignment horizontal="right"/>
    </xf>
    <xf numFmtId="166" fontId="3" fillId="3" borderId="18" xfId="0" applyNumberFormat="1" applyFont="1" applyFill="1" applyBorder="1" applyAlignment="1">
      <alignment horizontal="right"/>
    </xf>
    <xf numFmtId="166" fontId="3" fillId="3" borderId="19" xfId="0" applyNumberFormat="1" applyFont="1" applyFill="1" applyBorder="1" applyAlignment="1">
      <alignment horizontal="right"/>
    </xf>
    <xf numFmtId="166" fontId="3" fillId="3" borderId="20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left" indent="1"/>
    </xf>
    <xf numFmtId="166" fontId="3" fillId="0" borderId="0" xfId="0" applyNumberFormat="1" applyFont="1" applyAlignment="1">
      <alignment horizontal="right"/>
    </xf>
    <xf numFmtId="3" fontId="3" fillId="0" borderId="0" xfId="0" quotePrefix="1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3" fontId="3" fillId="0" borderId="0" xfId="0" applyNumberFormat="1" applyFont="1"/>
    <xf numFmtId="166" fontId="2" fillId="2" borderId="2" xfId="0" applyNumberFormat="1" applyFont="1" applyFill="1" applyBorder="1" applyAlignment="1">
      <alignment horizontal="center"/>
    </xf>
    <xf numFmtId="3" fontId="2" fillId="2" borderId="3" xfId="0" quotePrefix="1" applyNumberFormat="1" applyFont="1" applyFill="1" applyBorder="1" applyAlignment="1">
      <alignment horizontal="center"/>
    </xf>
    <xf numFmtId="49" fontId="2" fillId="2" borderId="3" xfId="0" quotePrefix="1" applyNumberFormat="1" applyFont="1" applyFill="1" applyBorder="1" applyAlignment="1">
      <alignment horizontal="right"/>
    </xf>
    <xf numFmtId="49" fontId="2" fillId="2" borderId="4" xfId="0" quotePrefix="1" applyNumberFormat="1" applyFont="1" applyFill="1" applyBorder="1" applyAlignment="1">
      <alignment horizontal="right"/>
    </xf>
    <xf numFmtId="3" fontId="2" fillId="2" borderId="21" xfId="0" applyNumberFormat="1" applyFont="1" applyFill="1" applyBorder="1" applyAlignment="1">
      <alignment horizontal="left" indent="1"/>
    </xf>
    <xf numFmtId="166" fontId="3" fillId="0" borderId="7" xfId="0" applyNumberFormat="1" applyFont="1" applyBorder="1" applyAlignment="1">
      <alignment horizontal="right"/>
    </xf>
    <xf numFmtId="165" fontId="3" fillId="3" borderId="9" xfId="0" applyNumberFormat="1" applyFont="1" applyFill="1" applyBorder="1" applyAlignment="1">
      <alignment horizontal="right"/>
    </xf>
    <xf numFmtId="165" fontId="3" fillId="3" borderId="10" xfId="0" applyNumberFormat="1" applyFont="1" applyFill="1" applyBorder="1" applyAlignment="1">
      <alignment horizontal="right"/>
    </xf>
    <xf numFmtId="167" fontId="3" fillId="0" borderId="12" xfId="2" applyNumberFormat="1" applyFont="1" applyFill="1" applyBorder="1" applyAlignment="1">
      <alignment horizontal="right"/>
    </xf>
    <xf numFmtId="167" fontId="3" fillId="0" borderId="13" xfId="2" applyNumberFormat="1" applyFont="1" applyFill="1" applyBorder="1" applyAlignment="1">
      <alignment horizontal="right"/>
    </xf>
    <xf numFmtId="167" fontId="3" fillId="0" borderId="14" xfId="2" applyNumberFormat="1" applyFont="1" applyFill="1" applyBorder="1" applyAlignment="1">
      <alignment horizontal="right"/>
    </xf>
    <xf numFmtId="167" fontId="3" fillId="0" borderId="15" xfId="2" applyNumberFormat="1" applyFont="1" applyFill="1" applyBorder="1" applyAlignment="1">
      <alignment horizontal="right"/>
    </xf>
    <xf numFmtId="3" fontId="2" fillId="2" borderId="22" xfId="0" applyNumberFormat="1" applyFont="1" applyFill="1" applyBorder="1" applyAlignment="1">
      <alignment horizontal="left" indent="1"/>
    </xf>
    <xf numFmtId="167" fontId="3" fillId="0" borderId="23" xfId="2" applyNumberFormat="1" applyFont="1" applyFill="1" applyBorder="1" applyAlignment="1">
      <alignment horizontal="right"/>
    </xf>
    <xf numFmtId="167" fontId="3" fillId="0" borderId="24" xfId="2" applyNumberFormat="1" applyFont="1" applyFill="1" applyBorder="1" applyAlignment="1">
      <alignment horizontal="right"/>
    </xf>
    <xf numFmtId="167" fontId="3" fillId="0" borderId="25" xfId="2" applyNumberFormat="1" applyFont="1" applyFill="1" applyBorder="1" applyAlignment="1">
      <alignment horizontal="right"/>
    </xf>
    <xf numFmtId="167" fontId="3" fillId="0" borderId="26" xfId="2" applyNumberFormat="1" applyFont="1" applyFill="1" applyBorder="1" applyAlignment="1">
      <alignment horizontal="right"/>
    </xf>
    <xf numFmtId="166" fontId="3" fillId="0" borderId="27" xfId="0" applyNumberFormat="1" applyFont="1" applyBorder="1" applyAlignment="1">
      <alignment horizontal="right"/>
    </xf>
    <xf numFmtId="166" fontId="3" fillId="0" borderId="28" xfId="0" applyNumberFormat="1" applyFont="1" applyBorder="1" applyAlignment="1">
      <alignment horizontal="right"/>
    </xf>
    <xf numFmtId="166" fontId="3" fillId="3" borderId="28" xfId="0" applyNumberFormat="1" applyFont="1" applyFill="1" applyBorder="1" applyAlignment="1">
      <alignment horizontal="right"/>
    </xf>
    <xf numFmtId="3" fontId="2" fillId="2" borderId="29" xfId="0" applyNumberFormat="1" applyFont="1" applyFill="1" applyBorder="1" applyAlignment="1">
      <alignment horizontal="left" indent="1"/>
    </xf>
    <xf numFmtId="167" fontId="3" fillId="0" borderId="30" xfId="2" applyNumberFormat="1" applyFont="1" applyFill="1" applyBorder="1" applyAlignment="1">
      <alignment horizontal="right"/>
    </xf>
    <xf numFmtId="167" fontId="3" fillId="0" borderId="31" xfId="2" applyNumberFormat="1" applyFont="1" applyFill="1" applyBorder="1" applyAlignment="1">
      <alignment horizontal="right"/>
    </xf>
    <xf numFmtId="167" fontId="3" fillId="0" borderId="32" xfId="2" applyNumberFormat="1" applyFont="1" applyFill="1" applyBorder="1" applyAlignment="1">
      <alignment horizontal="right"/>
    </xf>
    <xf numFmtId="167" fontId="3" fillId="0" borderId="33" xfId="2" applyNumberFormat="1" applyFont="1" applyFill="1" applyBorder="1" applyAlignment="1">
      <alignment horizontal="right"/>
    </xf>
    <xf numFmtId="3" fontId="2" fillId="2" borderId="34" xfId="0" applyNumberFormat="1" applyFont="1" applyFill="1" applyBorder="1" applyAlignment="1">
      <alignment horizontal="left" indent="1"/>
    </xf>
    <xf numFmtId="166" fontId="3" fillId="0" borderId="35" xfId="2" applyNumberFormat="1" applyFont="1" applyFill="1" applyBorder="1" applyAlignment="1">
      <alignment horizontal="right"/>
    </xf>
    <xf numFmtId="166" fontId="3" fillId="0" borderId="36" xfId="2" applyNumberFormat="1" applyFont="1" applyFill="1" applyBorder="1" applyAlignment="1">
      <alignment horizontal="right"/>
    </xf>
    <xf numFmtId="166" fontId="3" fillId="0" borderId="37" xfId="2" applyNumberFormat="1" applyFont="1" applyFill="1" applyBorder="1" applyAlignment="1">
      <alignment horizontal="right"/>
    </xf>
    <xf numFmtId="3" fontId="2" fillId="2" borderId="38" xfId="0" applyNumberFormat="1" applyFont="1" applyFill="1" applyBorder="1" applyAlignment="1">
      <alignment horizontal="left" indent="1"/>
    </xf>
    <xf numFmtId="166" fontId="3" fillId="0" borderId="39" xfId="2" applyNumberFormat="1" applyFont="1" applyFill="1" applyBorder="1" applyAlignment="1">
      <alignment horizontal="right"/>
    </xf>
    <xf numFmtId="166" fontId="3" fillId="0" borderId="40" xfId="2" applyNumberFormat="1" applyFont="1" applyFill="1" applyBorder="1" applyAlignment="1">
      <alignment horizontal="right"/>
    </xf>
    <xf numFmtId="166" fontId="3" fillId="0" borderId="41" xfId="2" applyNumberFormat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left" indent="1"/>
    </xf>
    <xf numFmtId="166" fontId="3" fillId="0" borderId="42" xfId="0" applyNumberFormat="1" applyFont="1" applyBorder="1" applyAlignment="1">
      <alignment horizontal="right"/>
    </xf>
    <xf numFmtId="166" fontId="3" fillId="3" borderId="43" xfId="0" applyNumberFormat="1" applyFont="1" applyFill="1" applyBorder="1" applyAlignment="1">
      <alignment horizontal="right"/>
    </xf>
    <xf numFmtId="166" fontId="3" fillId="3" borderId="44" xfId="0" applyNumberFormat="1" applyFont="1" applyFill="1" applyBorder="1" applyAlignment="1">
      <alignment horizontal="right"/>
    </xf>
    <xf numFmtId="165" fontId="3" fillId="3" borderId="44" xfId="0" applyNumberFormat="1" applyFont="1" applyFill="1" applyBorder="1" applyAlignment="1">
      <alignment horizontal="right"/>
    </xf>
    <xf numFmtId="165" fontId="3" fillId="3" borderId="45" xfId="0" applyNumberFormat="1" applyFont="1" applyFill="1" applyBorder="1" applyAlignment="1">
      <alignment horizontal="right"/>
    </xf>
    <xf numFmtId="168" fontId="2" fillId="0" borderId="0" xfId="0" applyNumberFormat="1" applyFont="1"/>
    <xf numFmtId="0" fontId="3" fillId="3" borderId="0" xfId="0" applyFont="1" applyFill="1"/>
    <xf numFmtId="0" fontId="2" fillId="2" borderId="46" xfId="0" applyFont="1" applyFill="1" applyBorder="1"/>
    <xf numFmtId="0" fontId="2" fillId="2" borderId="47" xfId="0" applyFont="1" applyFill="1" applyBorder="1" applyAlignment="1">
      <alignment horizontal="centerContinuous"/>
    </xf>
    <xf numFmtId="0" fontId="2" fillId="2" borderId="48" xfId="0" applyFont="1" applyFill="1" applyBorder="1" applyAlignment="1">
      <alignment horizontal="centerContinuous"/>
    </xf>
    <xf numFmtId="0" fontId="2" fillId="2" borderId="50" xfId="0" applyFont="1" applyFill="1" applyBorder="1"/>
    <xf numFmtId="0" fontId="2" fillId="2" borderId="51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 vertical="justify"/>
    </xf>
    <xf numFmtId="0" fontId="2" fillId="2" borderId="53" xfId="0" applyFont="1" applyFill="1" applyBorder="1" applyAlignment="1">
      <alignment horizontal="center" vertical="justify"/>
    </xf>
    <xf numFmtId="0" fontId="2" fillId="2" borderId="11" xfId="0" applyFont="1" applyFill="1" applyBorder="1" applyAlignment="1">
      <alignment horizontal="left" indent="1"/>
    </xf>
    <xf numFmtId="3" fontId="3" fillId="3" borderId="55" xfId="0" applyNumberFormat="1" applyFont="1" applyFill="1" applyBorder="1" applyAlignment="1">
      <alignment horizontal="right"/>
    </xf>
    <xf numFmtId="3" fontId="3" fillId="3" borderId="56" xfId="0" applyNumberFormat="1" applyFont="1" applyFill="1" applyBorder="1" applyAlignment="1">
      <alignment horizontal="right"/>
    </xf>
    <xf numFmtId="165" fontId="3" fillId="3" borderId="57" xfId="0" applyNumberFormat="1" applyFont="1" applyFill="1" applyBorder="1" applyAlignment="1">
      <alignment horizontal="right"/>
    </xf>
    <xf numFmtId="3" fontId="3" fillId="3" borderId="15" xfId="0" applyNumberFormat="1" applyFont="1" applyFill="1" applyBorder="1"/>
    <xf numFmtId="0" fontId="2" fillId="2" borderId="11" xfId="0" quotePrefix="1" applyFont="1" applyFill="1" applyBorder="1" applyAlignment="1">
      <alignment horizontal="left" indent="1"/>
    </xf>
    <xf numFmtId="3" fontId="3" fillId="0" borderId="55" xfId="0" applyNumberFormat="1" applyFont="1" applyBorder="1" applyAlignment="1">
      <alignment horizontal="right"/>
    </xf>
    <xf numFmtId="3" fontId="3" fillId="0" borderId="56" xfId="0" applyNumberFormat="1" applyFont="1" applyBorder="1" applyAlignment="1">
      <alignment horizontal="right"/>
    </xf>
    <xf numFmtId="165" fontId="3" fillId="0" borderId="57" xfId="0" applyNumberFormat="1" applyFont="1" applyBorder="1" applyAlignment="1">
      <alignment horizontal="right"/>
    </xf>
    <xf numFmtId="3" fontId="3" fillId="0" borderId="15" xfId="0" applyNumberFormat="1" applyFont="1" applyBorder="1"/>
    <xf numFmtId="0" fontId="2" fillId="2" borderId="58" xfId="0" applyFont="1" applyFill="1" applyBorder="1" applyAlignment="1">
      <alignment horizontal="left" indent="1"/>
    </xf>
    <xf numFmtId="3" fontId="3" fillId="0" borderId="59" xfId="0" applyNumberFormat="1" applyFont="1" applyBorder="1" applyAlignment="1">
      <alignment horizontal="right"/>
    </xf>
    <xf numFmtId="3" fontId="3" fillId="0" borderId="60" xfId="0" applyNumberFormat="1" applyFont="1" applyBorder="1" applyAlignment="1">
      <alignment horizontal="right"/>
    </xf>
    <xf numFmtId="166" fontId="3" fillId="0" borderId="61" xfId="0" applyNumberFormat="1" applyFont="1" applyBorder="1" applyAlignment="1">
      <alignment horizontal="right"/>
    </xf>
    <xf numFmtId="3" fontId="3" fillId="0" borderId="62" xfId="0" applyNumberFormat="1" applyFont="1" applyBorder="1" applyAlignment="1">
      <alignment horizontal="right"/>
    </xf>
    <xf numFmtId="166" fontId="3" fillId="0" borderId="63" xfId="0" applyNumberFormat="1" applyFont="1" applyBorder="1" applyAlignment="1">
      <alignment horizontal="right"/>
    </xf>
    <xf numFmtId="3" fontId="3" fillId="0" borderId="64" xfId="0" applyNumberFormat="1" applyFont="1" applyBorder="1"/>
    <xf numFmtId="3" fontId="3" fillId="0" borderId="0" xfId="0" applyNumberFormat="1" applyFont="1" applyAlignment="1">
      <alignment horizontal="center"/>
    </xf>
    <xf numFmtId="0" fontId="2" fillId="2" borderId="58" xfId="0" quotePrefix="1" applyFont="1" applyFill="1" applyBorder="1" applyAlignment="1">
      <alignment horizontal="left" indent="1"/>
    </xf>
    <xf numFmtId="166" fontId="3" fillId="0" borderId="60" xfId="0" applyNumberFormat="1" applyFont="1" applyBorder="1" applyAlignment="1">
      <alignment horizontal="right"/>
    </xf>
    <xf numFmtId="3" fontId="3" fillId="0" borderId="52" xfId="0" applyNumberFormat="1" applyFont="1" applyBorder="1" applyAlignment="1">
      <alignment horizontal="right"/>
    </xf>
    <xf numFmtId="3" fontId="3" fillId="0" borderId="20" xfId="0" applyNumberFormat="1" applyFont="1" applyBorder="1"/>
    <xf numFmtId="4" fontId="3" fillId="0" borderId="0" xfId="0" applyNumberFormat="1" applyFont="1" applyAlignment="1">
      <alignment horizontal="center"/>
    </xf>
    <xf numFmtId="0" fontId="2" fillId="2" borderId="65" xfId="0" applyFont="1" applyFill="1" applyBorder="1" applyAlignment="1">
      <alignment horizontal="centerContinuous"/>
    </xf>
    <xf numFmtId="0" fontId="2" fillId="2" borderId="66" xfId="0" applyFont="1" applyFill="1" applyBorder="1" applyAlignment="1">
      <alignment horizontal="center" vertical="center" wrapText="1"/>
    </xf>
    <xf numFmtId="0" fontId="2" fillId="2" borderId="67" xfId="0" applyFont="1" applyFill="1" applyBorder="1" applyAlignment="1">
      <alignment horizontal="center"/>
    </xf>
    <xf numFmtId="0" fontId="2" fillId="2" borderId="68" xfId="0" applyFont="1" applyFill="1" applyBorder="1" applyAlignment="1">
      <alignment horizontal="center" vertical="center" wrapText="1"/>
    </xf>
    <xf numFmtId="169" fontId="3" fillId="3" borderId="55" xfId="0" applyNumberFormat="1" applyFont="1" applyFill="1" applyBorder="1" applyAlignment="1">
      <alignment horizontal="right"/>
    </xf>
    <xf numFmtId="169" fontId="3" fillId="3" borderId="56" xfId="0" applyNumberFormat="1" applyFont="1" applyFill="1" applyBorder="1" applyAlignment="1">
      <alignment horizontal="right"/>
    </xf>
    <xf numFmtId="169" fontId="3" fillId="3" borderId="69" xfId="0" applyNumberFormat="1" applyFont="1" applyFill="1" applyBorder="1" applyAlignment="1">
      <alignment horizontal="right"/>
    </xf>
    <xf numFmtId="169" fontId="3" fillId="3" borderId="70" xfId="0" applyNumberFormat="1" applyFont="1" applyFill="1" applyBorder="1" applyAlignment="1">
      <alignment horizontal="right"/>
    </xf>
    <xf numFmtId="169" fontId="3" fillId="3" borderId="55" xfId="2" applyNumberFormat="1" applyFont="1" applyFill="1" applyBorder="1" applyAlignment="1">
      <alignment horizontal="right"/>
    </xf>
    <xf numFmtId="169" fontId="3" fillId="3" borderId="56" xfId="2" applyNumberFormat="1" applyFont="1" applyFill="1" applyBorder="1" applyAlignment="1">
      <alignment horizontal="right"/>
    </xf>
    <xf numFmtId="169" fontId="3" fillId="3" borderId="69" xfId="2" applyNumberFormat="1" applyFont="1" applyFill="1" applyBorder="1" applyAlignment="1">
      <alignment horizontal="right"/>
    </xf>
    <xf numFmtId="169" fontId="3" fillId="3" borderId="71" xfId="2" applyNumberFormat="1" applyFont="1" applyFill="1" applyBorder="1" applyAlignment="1">
      <alignment horizontal="right"/>
    </xf>
    <xf numFmtId="169" fontId="3" fillId="3" borderId="59" xfId="2" applyNumberFormat="1" applyFont="1" applyFill="1" applyBorder="1" applyAlignment="1">
      <alignment horizontal="right"/>
    </xf>
    <xf numFmtId="169" fontId="3" fillId="3" borderId="60" xfId="2" applyNumberFormat="1" applyFont="1" applyFill="1" applyBorder="1" applyAlignment="1">
      <alignment horizontal="right"/>
    </xf>
    <xf numFmtId="169" fontId="3" fillId="3" borderId="63" xfId="2" applyNumberFormat="1" applyFont="1" applyFill="1" applyBorder="1" applyAlignment="1">
      <alignment horizontal="right"/>
    </xf>
    <xf numFmtId="169" fontId="3" fillId="3" borderId="62" xfId="2" applyNumberFormat="1" applyFont="1" applyFill="1" applyBorder="1" applyAlignment="1">
      <alignment horizontal="right"/>
    </xf>
    <xf numFmtId="169" fontId="3" fillId="3" borderId="72" xfId="2" applyNumberFormat="1" applyFont="1" applyFill="1" applyBorder="1" applyAlignment="1">
      <alignment horizontal="right"/>
    </xf>
    <xf numFmtId="167" fontId="3" fillId="3" borderId="60" xfId="2" applyNumberFormat="1" applyFont="1" applyFill="1" applyBorder="1" applyAlignment="1">
      <alignment horizontal="right"/>
    </xf>
    <xf numFmtId="167" fontId="3" fillId="3" borderId="63" xfId="2" applyNumberFormat="1" applyFont="1" applyFill="1" applyBorder="1" applyAlignment="1">
      <alignment horizontal="right"/>
    </xf>
    <xf numFmtId="167" fontId="3" fillId="3" borderId="52" xfId="2" applyNumberFormat="1" applyFont="1" applyFill="1" applyBorder="1" applyAlignment="1">
      <alignment horizontal="right"/>
    </xf>
    <xf numFmtId="169" fontId="3" fillId="3" borderId="52" xfId="2" applyNumberFormat="1" applyFont="1" applyFill="1" applyBorder="1" applyAlignment="1">
      <alignment horizontal="right"/>
    </xf>
    <xf numFmtId="167" fontId="3" fillId="3" borderId="67" xfId="2" applyNumberFormat="1" applyFont="1" applyFill="1" applyBorder="1" applyAlignment="1">
      <alignment horizontal="right"/>
    </xf>
    <xf numFmtId="169" fontId="3" fillId="3" borderId="68" xfId="2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3" fontId="2" fillId="2" borderId="1" xfId="0" applyNumberFormat="1" applyFont="1" applyFill="1" applyBorder="1" applyAlignment="1">
      <alignment horizontal="centerContinuous" vertical="center" wrapText="1"/>
    </xf>
    <xf numFmtId="3" fontId="2" fillId="2" borderId="73" xfId="0" applyNumberFormat="1" applyFont="1" applyFill="1" applyBorder="1" applyAlignment="1">
      <alignment horizontal="centerContinuous" vertical="center" wrapText="1"/>
    </xf>
    <xf numFmtId="3" fontId="2" fillId="2" borderId="74" xfId="0" applyNumberFormat="1" applyFont="1" applyFill="1" applyBorder="1" applyAlignment="1">
      <alignment horizontal="centerContinuous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167" fontId="2" fillId="2" borderId="3" xfId="2" applyNumberFormat="1" applyFont="1" applyFill="1" applyBorder="1" applyAlignment="1">
      <alignment horizontal="center" vertical="center" wrapText="1"/>
    </xf>
    <xf numFmtId="3" fontId="2" fillId="2" borderId="3" xfId="0" quotePrefix="1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78" xfId="0" applyNumberFormat="1" applyFont="1" applyFill="1" applyBorder="1" applyAlignment="1">
      <alignment horizontal="left" indent="1"/>
    </xf>
    <xf numFmtId="3" fontId="2" fillId="2" borderId="79" xfId="0" applyNumberFormat="1" applyFont="1" applyFill="1" applyBorder="1" applyAlignment="1">
      <alignment horizontal="left" indent="1"/>
    </xf>
    <xf numFmtId="3" fontId="2" fillId="2" borderId="80" xfId="0" applyNumberFormat="1" applyFont="1" applyFill="1" applyBorder="1" applyAlignment="1">
      <alignment horizontal="left" indent="1"/>
    </xf>
    <xf numFmtId="3" fontId="3" fillId="3" borderId="81" xfId="0" applyNumberFormat="1" applyFont="1" applyFill="1" applyBorder="1" applyAlignment="1">
      <alignment horizontal="right" vertical="center"/>
    </xf>
    <xf numFmtId="3" fontId="3" fillId="3" borderId="82" xfId="0" applyNumberFormat="1" applyFont="1" applyFill="1" applyBorder="1" applyAlignment="1">
      <alignment horizontal="right" vertical="center"/>
    </xf>
    <xf numFmtId="4" fontId="3" fillId="3" borderId="82" xfId="0" applyNumberFormat="1" applyFont="1" applyFill="1" applyBorder="1" applyAlignment="1">
      <alignment horizontal="right" vertical="center"/>
    </xf>
    <xf numFmtId="3" fontId="3" fillId="0" borderId="82" xfId="0" applyNumberFormat="1" applyFont="1" applyBorder="1" applyAlignment="1">
      <alignment horizontal="right" vertical="center"/>
    </xf>
    <xf numFmtId="167" fontId="2" fillId="3" borderId="82" xfId="2" applyNumberFormat="1" applyFont="1" applyFill="1" applyBorder="1" applyAlignment="1">
      <alignment horizontal="right" vertical="center"/>
    </xf>
    <xf numFmtId="167" fontId="2" fillId="3" borderId="83" xfId="2" applyNumberFormat="1" applyFont="1" applyFill="1" applyBorder="1" applyAlignment="1">
      <alignment horizontal="right" vertical="center"/>
    </xf>
    <xf numFmtId="3" fontId="3" fillId="3" borderId="87" xfId="0" applyNumberFormat="1" applyFont="1" applyFill="1" applyBorder="1" applyAlignment="1">
      <alignment horizontal="right" vertical="center"/>
    </xf>
    <xf numFmtId="3" fontId="3" fillId="3" borderId="88" xfId="0" applyNumberFormat="1" applyFont="1" applyFill="1" applyBorder="1" applyAlignment="1">
      <alignment horizontal="right" vertical="center"/>
    </xf>
    <xf numFmtId="4" fontId="3" fillId="3" borderId="88" xfId="0" applyNumberFormat="1" applyFont="1" applyFill="1" applyBorder="1" applyAlignment="1">
      <alignment horizontal="right" vertical="center"/>
    </xf>
    <xf numFmtId="3" fontId="3" fillId="0" borderId="88" xfId="0" applyNumberFormat="1" applyFont="1" applyBorder="1" applyAlignment="1">
      <alignment horizontal="right" vertical="center"/>
    </xf>
    <xf numFmtId="167" fontId="2" fillId="3" borderId="88" xfId="2" applyNumberFormat="1" applyFont="1" applyFill="1" applyBorder="1" applyAlignment="1">
      <alignment horizontal="right" vertical="center"/>
    </xf>
    <xf numFmtId="167" fontId="2" fillId="3" borderId="89" xfId="2" applyNumberFormat="1" applyFont="1" applyFill="1" applyBorder="1" applyAlignment="1">
      <alignment horizontal="right" vertical="center"/>
    </xf>
    <xf numFmtId="3" fontId="3" fillId="2" borderId="92" xfId="0" applyNumberFormat="1" applyFont="1" applyFill="1" applyBorder="1" applyAlignment="1">
      <alignment horizontal="left" indent="1"/>
    </xf>
    <xf numFmtId="3" fontId="3" fillId="3" borderId="27" xfId="0" applyNumberFormat="1" applyFont="1" applyFill="1" applyBorder="1" applyAlignment="1">
      <alignment horizontal="right" vertical="center"/>
    </xf>
    <xf numFmtId="3" fontId="3" fillId="3" borderId="28" xfId="0" applyNumberFormat="1" applyFont="1" applyFill="1" applyBorder="1" applyAlignment="1">
      <alignment horizontal="right" vertical="center"/>
    </xf>
    <xf numFmtId="4" fontId="3" fillId="3" borderId="28" xfId="0" applyNumberFormat="1" applyFont="1" applyFill="1" applyBorder="1" applyAlignment="1">
      <alignment horizontal="right" vertical="center"/>
    </xf>
    <xf numFmtId="3" fontId="3" fillId="0" borderId="28" xfId="0" applyNumberFormat="1" applyFont="1" applyBorder="1" applyAlignment="1">
      <alignment horizontal="right" vertical="center"/>
    </xf>
    <xf numFmtId="167" fontId="2" fillId="3" borderId="28" xfId="2" applyNumberFormat="1" applyFont="1" applyFill="1" applyBorder="1" applyAlignment="1">
      <alignment horizontal="right" vertical="center"/>
    </xf>
    <xf numFmtId="167" fontId="2" fillId="3" borderId="93" xfId="2" applyNumberFormat="1" applyFont="1" applyFill="1" applyBorder="1" applyAlignment="1">
      <alignment horizontal="right" vertical="center"/>
    </xf>
    <xf numFmtId="3" fontId="3" fillId="2" borderId="95" xfId="0" applyNumberFormat="1" applyFont="1" applyFill="1" applyBorder="1" applyAlignment="1">
      <alignment horizontal="left" indent="1"/>
    </xf>
    <xf numFmtId="3" fontId="3" fillId="3" borderId="23" xfId="0" applyNumberFormat="1" applyFont="1" applyFill="1" applyBorder="1" applyAlignment="1">
      <alignment horizontal="right" vertical="center"/>
    </xf>
    <xf numFmtId="3" fontId="3" fillId="3" borderId="24" xfId="0" applyNumberFormat="1" applyFont="1" applyFill="1" applyBorder="1" applyAlignment="1">
      <alignment horizontal="right" vertical="center"/>
    </xf>
    <xf numFmtId="4" fontId="3" fillId="3" borderId="24" xfId="0" applyNumberFormat="1" applyFont="1" applyFill="1" applyBorder="1" applyAlignment="1">
      <alignment horizontal="right" vertical="center"/>
    </xf>
    <xf numFmtId="3" fontId="3" fillId="0" borderId="24" xfId="0" applyNumberFormat="1" applyFont="1" applyBorder="1" applyAlignment="1">
      <alignment horizontal="right" vertical="center"/>
    </xf>
    <xf numFmtId="167" fontId="2" fillId="3" borderId="24" xfId="2" applyNumberFormat="1" applyFont="1" applyFill="1" applyBorder="1" applyAlignment="1">
      <alignment horizontal="right" vertical="center"/>
    </xf>
    <xf numFmtId="167" fontId="2" fillId="3" borderId="26" xfId="2" applyNumberFormat="1" applyFont="1" applyFill="1" applyBorder="1" applyAlignment="1">
      <alignment horizontal="right" vertical="center"/>
    </xf>
    <xf numFmtId="3" fontId="3" fillId="2" borderId="98" xfId="0" applyNumberFormat="1" applyFont="1" applyFill="1" applyBorder="1" applyAlignment="1">
      <alignment horizontal="left" indent="1"/>
    </xf>
    <xf numFmtId="3" fontId="3" fillId="3" borderId="30" xfId="0" applyNumberFormat="1" applyFont="1" applyFill="1" applyBorder="1" applyAlignment="1">
      <alignment horizontal="right" vertical="center"/>
    </xf>
    <xf numFmtId="3" fontId="3" fillId="3" borderId="31" xfId="0" applyNumberFormat="1" applyFont="1" applyFill="1" applyBorder="1" applyAlignment="1">
      <alignment horizontal="right" vertical="center"/>
    </xf>
    <xf numFmtId="4" fontId="3" fillId="3" borderId="31" xfId="0" applyNumberFormat="1" applyFont="1" applyFill="1" applyBorder="1" applyAlignment="1">
      <alignment horizontal="right" vertical="center"/>
    </xf>
    <xf numFmtId="3" fontId="3" fillId="0" borderId="31" xfId="0" applyNumberFormat="1" applyFont="1" applyBorder="1" applyAlignment="1">
      <alignment horizontal="right" vertical="center"/>
    </xf>
    <xf numFmtId="167" fontId="2" fillId="3" borderId="31" xfId="2" applyNumberFormat="1" applyFont="1" applyFill="1" applyBorder="1" applyAlignment="1">
      <alignment horizontal="right" vertical="center"/>
    </xf>
    <xf numFmtId="167" fontId="2" fillId="3" borderId="33" xfId="2" applyNumberFormat="1" applyFont="1" applyFill="1" applyBorder="1" applyAlignment="1">
      <alignment horizontal="right" vertical="center"/>
    </xf>
    <xf numFmtId="0" fontId="10" fillId="0" borderId="0" xfId="0" applyFont="1"/>
    <xf numFmtId="3" fontId="2" fillId="2" borderId="102" xfId="0" applyNumberFormat="1" applyFont="1" applyFill="1" applyBorder="1" applyAlignment="1">
      <alignment horizontal="left" indent="1"/>
    </xf>
    <xf numFmtId="3" fontId="3" fillId="0" borderId="82" xfId="0" applyNumberFormat="1" applyFont="1" applyBorder="1" applyAlignment="1">
      <alignment horizontal="right"/>
    </xf>
    <xf numFmtId="3" fontId="3" fillId="0" borderId="103" xfId="0" applyNumberFormat="1" applyFont="1" applyBorder="1"/>
    <xf numFmtId="3" fontId="3" fillId="0" borderId="28" xfId="0" applyNumberFormat="1" applyFont="1" applyBorder="1" applyAlignment="1">
      <alignment horizontal="right"/>
    </xf>
    <xf numFmtId="3" fontId="3" fillId="0" borderId="24" xfId="0" applyNumberFormat="1" applyFont="1" applyBorder="1" applyAlignment="1">
      <alignment horizontal="right"/>
    </xf>
    <xf numFmtId="3" fontId="3" fillId="2" borderId="68" xfId="0" applyNumberFormat="1" applyFont="1" applyFill="1" applyBorder="1" applyAlignment="1">
      <alignment horizontal="left" indent="1"/>
    </xf>
    <xf numFmtId="3" fontId="3" fillId="3" borderId="17" xfId="0" applyNumberFormat="1" applyFont="1" applyFill="1" applyBorder="1" applyAlignment="1">
      <alignment horizontal="right" vertical="center"/>
    </xf>
    <xf numFmtId="3" fontId="3" fillId="0" borderId="18" xfId="0" applyNumberFormat="1" applyFont="1" applyBorder="1" applyAlignment="1">
      <alignment horizontal="right"/>
    </xf>
    <xf numFmtId="4" fontId="3" fillId="3" borderId="18" xfId="0" applyNumberFormat="1" applyFont="1" applyFill="1" applyBorder="1" applyAlignment="1">
      <alignment horizontal="right" vertical="center"/>
    </xf>
    <xf numFmtId="3" fontId="3" fillId="0" borderId="18" xfId="0" applyNumberFormat="1" applyFont="1" applyBorder="1" applyAlignment="1">
      <alignment horizontal="right" vertical="center"/>
    </xf>
    <xf numFmtId="167" fontId="2" fillId="3" borderId="18" xfId="2" applyNumberFormat="1" applyFont="1" applyFill="1" applyBorder="1" applyAlignment="1">
      <alignment horizontal="right" vertical="center"/>
    </xf>
    <xf numFmtId="167" fontId="2" fillId="3" borderId="20" xfId="2" applyNumberFormat="1" applyFont="1" applyFill="1" applyBorder="1" applyAlignment="1">
      <alignment horizontal="right" vertical="center"/>
    </xf>
    <xf numFmtId="167" fontId="2" fillId="0" borderId="0" xfId="2" applyNumberFormat="1" applyFont="1" applyBorder="1" applyAlignment="1">
      <alignment horizontal="center"/>
    </xf>
    <xf numFmtId="0" fontId="2" fillId="2" borderId="99" xfId="0" applyFont="1" applyFill="1" applyBorder="1" applyAlignment="1">
      <alignment horizontal="centerContinuous"/>
    </xf>
    <xf numFmtId="0" fontId="2" fillId="2" borderId="100" xfId="0" applyFont="1" applyFill="1" applyBorder="1" applyAlignment="1">
      <alignment horizontal="centerContinuous"/>
    </xf>
    <xf numFmtId="0" fontId="2" fillId="2" borderId="101" xfId="0" applyFont="1" applyFill="1" applyBorder="1" applyAlignment="1">
      <alignment horizontal="centerContinuous"/>
    </xf>
    <xf numFmtId="0" fontId="5" fillId="0" borderId="0" xfId="0" applyFont="1" applyAlignment="1">
      <alignment horizontal="right"/>
    </xf>
    <xf numFmtId="168" fontId="3" fillId="3" borderId="81" xfId="0" applyNumberFormat="1" applyFont="1" applyFill="1" applyBorder="1" applyAlignment="1">
      <alignment horizontal="right"/>
    </xf>
    <xf numFmtId="168" fontId="3" fillId="3" borderId="82" xfId="0" applyNumberFormat="1" applyFont="1" applyFill="1" applyBorder="1" applyAlignment="1">
      <alignment horizontal="right"/>
    </xf>
    <xf numFmtId="4" fontId="3" fillId="3" borderId="82" xfId="0" applyNumberFormat="1" applyFont="1" applyFill="1" applyBorder="1" applyAlignment="1">
      <alignment horizontal="right"/>
    </xf>
    <xf numFmtId="168" fontId="3" fillId="0" borderId="82" xfId="0" applyNumberFormat="1" applyFont="1" applyBorder="1" applyAlignment="1">
      <alignment horizontal="right"/>
    </xf>
    <xf numFmtId="167" fontId="2" fillId="3" borderId="82" xfId="2" applyNumberFormat="1" applyFont="1" applyFill="1" applyBorder="1" applyAlignment="1">
      <alignment horizontal="right"/>
    </xf>
    <xf numFmtId="167" fontId="2" fillId="3" borderId="83" xfId="2" applyNumberFormat="1" applyFont="1" applyFill="1" applyBorder="1" applyAlignment="1">
      <alignment horizontal="right"/>
    </xf>
    <xf numFmtId="168" fontId="3" fillId="3" borderId="87" xfId="0" applyNumberFormat="1" applyFont="1" applyFill="1" applyBorder="1" applyAlignment="1">
      <alignment horizontal="right"/>
    </xf>
    <xf numFmtId="168" fontId="3" fillId="0" borderId="88" xfId="0" applyNumberFormat="1" applyFont="1" applyBorder="1" applyAlignment="1">
      <alignment horizontal="right"/>
    </xf>
    <xf numFmtId="4" fontId="3" fillId="3" borderId="88" xfId="0" applyNumberFormat="1" applyFont="1" applyFill="1" applyBorder="1" applyAlignment="1">
      <alignment horizontal="right"/>
    </xf>
    <xf numFmtId="168" fontId="3" fillId="3" borderId="88" xfId="0" applyNumberFormat="1" applyFont="1" applyFill="1" applyBorder="1" applyAlignment="1">
      <alignment horizontal="right"/>
    </xf>
    <xf numFmtId="167" fontId="2" fillId="3" borderId="88" xfId="2" applyNumberFormat="1" applyFont="1" applyFill="1" applyBorder="1" applyAlignment="1">
      <alignment horizontal="right"/>
    </xf>
    <xf numFmtId="167" fontId="2" fillId="3" borderId="89" xfId="2" applyNumberFormat="1" applyFont="1" applyFill="1" applyBorder="1" applyAlignment="1">
      <alignment horizontal="right"/>
    </xf>
    <xf numFmtId="168" fontId="3" fillId="3" borderId="27" xfId="0" applyNumberFormat="1" applyFont="1" applyFill="1" applyBorder="1" applyAlignment="1">
      <alignment horizontal="right"/>
    </xf>
    <xf numFmtId="168" fontId="3" fillId="0" borderId="28" xfId="0" applyNumberFormat="1" applyFont="1" applyBorder="1" applyAlignment="1">
      <alignment horizontal="right"/>
    </xf>
    <xf numFmtId="4" fontId="3" fillId="3" borderId="28" xfId="0" applyNumberFormat="1" applyFont="1" applyFill="1" applyBorder="1" applyAlignment="1">
      <alignment horizontal="right"/>
    </xf>
    <xf numFmtId="168" fontId="3" fillId="3" borderId="28" xfId="0" applyNumberFormat="1" applyFont="1" applyFill="1" applyBorder="1" applyAlignment="1">
      <alignment horizontal="right"/>
    </xf>
    <xf numFmtId="167" fontId="2" fillId="3" borderId="28" xfId="2" applyNumberFormat="1" applyFont="1" applyFill="1" applyBorder="1" applyAlignment="1">
      <alignment horizontal="right"/>
    </xf>
    <xf numFmtId="167" fontId="2" fillId="3" borderId="93" xfId="2" applyNumberFormat="1" applyFont="1" applyFill="1" applyBorder="1" applyAlignment="1">
      <alignment horizontal="right"/>
    </xf>
    <xf numFmtId="168" fontId="3" fillId="3" borderId="23" xfId="0" applyNumberFormat="1" applyFont="1" applyFill="1" applyBorder="1" applyAlignment="1">
      <alignment horizontal="right"/>
    </xf>
    <xf numFmtId="168" fontId="3" fillId="0" borderId="24" xfId="0" applyNumberFormat="1" applyFont="1" applyBorder="1" applyAlignment="1">
      <alignment horizontal="right"/>
    </xf>
    <xf numFmtId="4" fontId="3" fillId="3" borderId="24" xfId="0" applyNumberFormat="1" applyFont="1" applyFill="1" applyBorder="1" applyAlignment="1">
      <alignment horizontal="right"/>
    </xf>
    <xf numFmtId="168" fontId="3" fillId="3" borderId="24" xfId="0" applyNumberFormat="1" applyFont="1" applyFill="1" applyBorder="1" applyAlignment="1">
      <alignment horizontal="right"/>
    </xf>
    <xf numFmtId="167" fontId="2" fillId="3" borderId="24" xfId="2" applyNumberFormat="1" applyFont="1" applyFill="1" applyBorder="1" applyAlignment="1">
      <alignment horizontal="right"/>
    </xf>
    <xf numFmtId="167" fontId="2" fillId="3" borderId="26" xfId="2" applyNumberFormat="1" applyFont="1" applyFill="1" applyBorder="1" applyAlignment="1">
      <alignment horizontal="right"/>
    </xf>
    <xf numFmtId="168" fontId="3" fillId="3" borderId="30" xfId="0" applyNumberFormat="1" applyFont="1" applyFill="1" applyBorder="1" applyAlignment="1">
      <alignment horizontal="right"/>
    </xf>
    <xf numFmtId="168" fontId="3" fillId="0" borderId="31" xfId="0" applyNumberFormat="1" applyFont="1" applyBorder="1" applyAlignment="1">
      <alignment horizontal="right"/>
    </xf>
    <xf numFmtId="4" fontId="3" fillId="3" borderId="31" xfId="0" applyNumberFormat="1" applyFont="1" applyFill="1" applyBorder="1" applyAlignment="1">
      <alignment horizontal="right"/>
    </xf>
    <xf numFmtId="168" fontId="3" fillId="3" borderId="31" xfId="0" applyNumberFormat="1" applyFont="1" applyFill="1" applyBorder="1" applyAlignment="1">
      <alignment horizontal="right"/>
    </xf>
    <xf numFmtId="167" fontId="2" fillId="3" borderId="31" xfId="2" applyNumberFormat="1" applyFont="1" applyFill="1" applyBorder="1" applyAlignment="1">
      <alignment horizontal="right"/>
    </xf>
    <xf numFmtId="167" fontId="2" fillId="3" borderId="33" xfId="2" applyNumberFormat="1" applyFont="1" applyFill="1" applyBorder="1" applyAlignment="1">
      <alignment horizontal="right"/>
    </xf>
    <xf numFmtId="168" fontId="3" fillId="3" borderId="17" xfId="0" applyNumberFormat="1" applyFont="1" applyFill="1" applyBorder="1" applyAlignment="1">
      <alignment horizontal="right"/>
    </xf>
    <xf numFmtId="168" fontId="3" fillId="0" borderId="18" xfId="0" applyNumberFormat="1" applyFont="1" applyBorder="1" applyAlignment="1">
      <alignment horizontal="right"/>
    </xf>
    <xf numFmtId="4" fontId="3" fillId="3" borderId="18" xfId="0" applyNumberFormat="1" applyFont="1" applyFill="1" applyBorder="1" applyAlignment="1">
      <alignment horizontal="right"/>
    </xf>
    <xf numFmtId="168" fontId="3" fillId="3" borderId="18" xfId="0" applyNumberFormat="1" applyFont="1" applyFill="1" applyBorder="1" applyAlignment="1">
      <alignment horizontal="right"/>
    </xf>
    <xf numFmtId="167" fontId="2" fillId="3" borderId="18" xfId="2" applyNumberFormat="1" applyFont="1" applyFill="1" applyBorder="1" applyAlignment="1">
      <alignment horizontal="right"/>
    </xf>
    <xf numFmtId="167" fontId="2" fillId="3" borderId="20" xfId="2" applyNumberFormat="1" applyFont="1" applyFill="1" applyBorder="1" applyAlignment="1">
      <alignment horizontal="right"/>
    </xf>
    <xf numFmtId="168" fontId="3" fillId="3" borderId="8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167" fontId="2" fillId="0" borderId="0" xfId="2" applyNumberFormat="1" applyFont="1" applyAlignment="1">
      <alignment horizontal="center"/>
    </xf>
    <xf numFmtId="0" fontId="10" fillId="0" borderId="0" xfId="0" applyFont="1" applyAlignment="1">
      <alignment horizontal="center"/>
    </xf>
    <xf numFmtId="167" fontId="12" fillId="0" borderId="0" xfId="2" applyNumberFormat="1" applyFont="1" applyAlignment="1">
      <alignment horizontal="center"/>
    </xf>
    <xf numFmtId="0" fontId="13" fillId="3" borderId="0" xfId="0" quotePrefix="1" applyFont="1" applyFill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/>
    <xf numFmtId="3" fontId="2" fillId="2" borderId="111" xfId="0" quotePrefix="1" applyNumberFormat="1" applyFont="1" applyFill="1" applyBorder="1" applyAlignment="1">
      <alignment horizontal="center" wrapText="1"/>
    </xf>
    <xf numFmtId="3" fontId="2" fillId="2" borderId="112" xfId="0" quotePrefix="1" applyNumberFormat="1" applyFont="1" applyFill="1" applyBorder="1" applyAlignment="1">
      <alignment horizontal="center" wrapText="1"/>
    </xf>
    <xf numFmtId="3" fontId="2" fillId="2" borderId="113" xfId="0" quotePrefix="1" applyNumberFormat="1" applyFont="1" applyFill="1" applyBorder="1" applyAlignment="1">
      <alignment horizontal="center" wrapText="1"/>
    </xf>
    <xf numFmtId="3" fontId="2" fillId="2" borderId="73" xfId="0" quotePrefix="1" applyNumberFormat="1" applyFont="1" applyFill="1" applyBorder="1" applyAlignment="1">
      <alignment horizontal="center" wrapText="1"/>
    </xf>
    <xf numFmtId="3" fontId="13" fillId="2" borderId="114" xfId="0" quotePrefix="1" applyNumberFormat="1" applyFont="1" applyFill="1" applyBorder="1" applyAlignment="1">
      <alignment horizontal="center" wrapText="1"/>
    </xf>
    <xf numFmtId="0" fontId="17" fillId="0" borderId="0" xfId="0" applyFont="1"/>
    <xf numFmtId="0" fontId="2" fillId="2" borderId="75" xfId="0" applyFont="1" applyFill="1" applyBorder="1" applyAlignment="1">
      <alignment horizontal="centerContinuous" vertical="center"/>
    </xf>
    <xf numFmtId="0" fontId="2" fillId="2" borderId="76" xfId="0" applyFont="1" applyFill="1" applyBorder="1" applyAlignment="1">
      <alignment horizontal="centerContinuous" vertical="center"/>
    </xf>
    <xf numFmtId="0" fontId="2" fillId="2" borderId="115" xfId="0" applyFont="1" applyFill="1" applyBorder="1" applyAlignment="1">
      <alignment horizontal="centerContinuous" vertical="center"/>
    </xf>
    <xf numFmtId="0" fontId="18" fillId="2" borderId="116" xfId="0" applyFont="1" applyFill="1" applyBorder="1" applyAlignment="1">
      <alignment horizontal="centerContinuous" vertical="center"/>
    </xf>
    <xf numFmtId="0" fontId="4" fillId="0" borderId="0" xfId="0" applyFont="1"/>
    <xf numFmtId="3" fontId="3" fillId="2" borderId="117" xfId="0" applyNumberFormat="1" applyFont="1" applyFill="1" applyBorder="1" applyAlignment="1">
      <alignment horizontal="left" indent="1"/>
    </xf>
    <xf numFmtId="168" fontId="3" fillId="3" borderId="118" xfId="0" applyNumberFormat="1" applyFont="1" applyFill="1" applyBorder="1" applyAlignment="1">
      <alignment horizontal="right"/>
    </xf>
    <xf numFmtId="168" fontId="3" fillId="3" borderId="119" xfId="0" applyNumberFormat="1" applyFont="1" applyFill="1" applyBorder="1" applyAlignment="1">
      <alignment horizontal="right"/>
    </xf>
    <xf numFmtId="168" fontId="3" fillId="3" borderId="120" xfId="0" applyNumberFormat="1" applyFont="1" applyFill="1" applyBorder="1" applyAlignment="1">
      <alignment horizontal="right"/>
    </xf>
    <xf numFmtId="168" fontId="3" fillId="3" borderId="121" xfId="0" applyNumberFormat="1" applyFont="1" applyFill="1" applyBorder="1" applyAlignment="1">
      <alignment horizontal="right"/>
    </xf>
    <xf numFmtId="3" fontId="4" fillId="0" borderId="119" xfId="0" applyNumberFormat="1" applyFont="1" applyBorder="1" applyAlignment="1">
      <alignment horizontal="right"/>
    </xf>
    <xf numFmtId="3" fontId="4" fillId="0" borderId="122" xfId="0" applyNumberFormat="1" applyFont="1" applyBorder="1" applyAlignment="1">
      <alignment horizontal="right"/>
    </xf>
    <xf numFmtId="3" fontId="3" fillId="2" borderId="11" xfId="0" applyNumberFormat="1" applyFont="1" applyFill="1" applyBorder="1" applyAlignment="1">
      <alignment horizontal="left" indent="1"/>
    </xf>
    <xf numFmtId="168" fontId="3" fillId="3" borderId="56" xfId="0" applyNumberFormat="1" applyFont="1" applyFill="1" applyBorder="1" applyAlignment="1">
      <alignment horizontal="right"/>
    </xf>
    <xf numFmtId="168" fontId="3" fillId="3" borderId="69" xfId="0" applyNumberFormat="1" applyFont="1" applyFill="1" applyBorder="1" applyAlignment="1">
      <alignment horizontal="right"/>
    </xf>
    <xf numFmtId="168" fontId="3" fillId="3" borderId="123" xfId="0" applyNumberFormat="1" applyFont="1" applyFill="1" applyBorder="1" applyAlignment="1">
      <alignment horizontal="right"/>
    </xf>
    <xf numFmtId="168" fontId="3" fillId="3" borderId="124" xfId="0" applyNumberFormat="1" applyFont="1" applyFill="1" applyBorder="1" applyAlignment="1">
      <alignment horizontal="right"/>
    </xf>
    <xf numFmtId="3" fontId="4" fillId="0" borderId="69" xfId="0" applyNumberFormat="1" applyFont="1" applyBorder="1" applyAlignment="1">
      <alignment horizontal="right"/>
    </xf>
    <xf numFmtId="3" fontId="4" fillId="0" borderId="71" xfId="0" applyNumberFormat="1" applyFont="1" applyBorder="1" applyAlignment="1">
      <alignment horizontal="right"/>
    </xf>
    <xf numFmtId="3" fontId="3" fillId="2" borderId="22" xfId="0" applyNumberFormat="1" applyFont="1" applyFill="1" applyBorder="1" applyAlignment="1">
      <alignment horizontal="left" indent="1"/>
    </xf>
    <xf numFmtId="168" fontId="3" fillId="3" borderId="125" xfId="0" applyNumberFormat="1" applyFont="1" applyFill="1" applyBorder="1" applyAlignment="1">
      <alignment horizontal="right"/>
    </xf>
    <xf numFmtId="168" fontId="3" fillId="3" borderId="126" xfId="0" applyNumberFormat="1" applyFont="1" applyFill="1" applyBorder="1" applyAlignment="1">
      <alignment horizontal="right"/>
    </xf>
    <xf numFmtId="168" fontId="3" fillId="3" borderId="127" xfId="0" applyNumberFormat="1" applyFont="1" applyFill="1" applyBorder="1" applyAlignment="1">
      <alignment horizontal="right"/>
    </xf>
    <xf numFmtId="168" fontId="3" fillId="3" borderId="128" xfId="0" applyNumberFormat="1" applyFont="1" applyFill="1" applyBorder="1" applyAlignment="1">
      <alignment horizontal="right"/>
    </xf>
    <xf numFmtId="168" fontId="4" fillId="3" borderId="95" xfId="0" applyNumberFormat="1" applyFont="1" applyFill="1" applyBorder="1" applyAlignment="1">
      <alignment horizontal="right"/>
    </xf>
    <xf numFmtId="3" fontId="3" fillId="2" borderId="129" xfId="0" applyNumberFormat="1" applyFont="1" applyFill="1" applyBorder="1" applyAlignment="1">
      <alignment horizontal="left" indent="1"/>
    </xf>
    <xf numFmtId="168" fontId="3" fillId="3" borderId="130" xfId="0" applyNumberFormat="1" applyFont="1" applyFill="1" applyBorder="1" applyAlignment="1">
      <alignment horizontal="right"/>
    </xf>
    <xf numFmtId="168" fontId="3" fillId="3" borderId="131" xfId="0" applyNumberFormat="1" applyFont="1" applyFill="1" applyBorder="1" applyAlignment="1">
      <alignment horizontal="right"/>
    </xf>
    <xf numFmtId="168" fontId="3" fillId="3" borderId="132" xfId="0" applyNumberFormat="1" applyFont="1" applyFill="1" applyBorder="1" applyAlignment="1">
      <alignment horizontal="right"/>
    </xf>
    <xf numFmtId="168" fontId="3" fillId="3" borderId="133" xfId="0" applyNumberFormat="1" applyFont="1" applyFill="1" applyBorder="1" applyAlignment="1">
      <alignment horizontal="right"/>
    </xf>
    <xf numFmtId="3" fontId="4" fillId="3" borderId="131" xfId="0" applyNumberFormat="1" applyFont="1" applyFill="1" applyBorder="1" applyAlignment="1">
      <alignment horizontal="right"/>
    </xf>
    <xf numFmtId="3" fontId="4" fillId="3" borderId="134" xfId="0" applyNumberFormat="1" applyFont="1" applyFill="1" applyBorder="1" applyAlignment="1">
      <alignment horizontal="right"/>
    </xf>
    <xf numFmtId="0" fontId="2" fillId="2" borderId="99" xfId="0" applyFont="1" applyFill="1" applyBorder="1" applyAlignment="1">
      <alignment horizontal="centerContinuous" vertical="center"/>
    </xf>
    <xf numFmtId="0" fontId="2" fillId="2" borderId="100" xfId="0" applyFont="1" applyFill="1" applyBorder="1" applyAlignment="1">
      <alignment horizontal="centerContinuous" vertical="center"/>
    </xf>
    <xf numFmtId="0" fontId="2" fillId="2" borderId="135" xfId="0" applyFont="1" applyFill="1" applyBorder="1" applyAlignment="1">
      <alignment horizontal="centerContinuous" vertical="center"/>
    </xf>
    <xf numFmtId="3" fontId="2" fillId="2" borderId="100" xfId="0" applyNumberFormat="1" applyFont="1" applyFill="1" applyBorder="1" applyAlignment="1">
      <alignment horizontal="centerContinuous" vertical="center"/>
    </xf>
    <xf numFmtId="3" fontId="18" fillId="2" borderId="136" xfId="0" applyNumberFormat="1" applyFont="1" applyFill="1" applyBorder="1" applyAlignment="1">
      <alignment horizontal="centerContinuous" vertical="center"/>
    </xf>
    <xf numFmtId="3" fontId="4" fillId="0" borderId="133" xfId="0" applyNumberFormat="1" applyFont="1" applyBorder="1" applyAlignment="1">
      <alignment horizontal="right"/>
    </xf>
    <xf numFmtId="3" fontId="4" fillId="0" borderId="134" xfId="0" applyNumberFormat="1" applyFont="1" applyBorder="1" applyAlignment="1">
      <alignment horizontal="right"/>
    </xf>
    <xf numFmtId="0" fontId="18" fillId="2" borderId="136" xfId="0" applyFont="1" applyFill="1" applyBorder="1" applyAlignment="1">
      <alignment horizontal="centerContinuous" vertical="center"/>
    </xf>
    <xf numFmtId="170" fontId="3" fillId="3" borderId="118" xfId="0" applyNumberFormat="1" applyFont="1" applyFill="1" applyBorder="1" applyAlignment="1">
      <alignment horizontal="right"/>
    </xf>
    <xf numFmtId="170" fontId="3" fillId="3" borderId="119" xfId="0" applyNumberFormat="1" applyFont="1" applyFill="1" applyBorder="1" applyAlignment="1">
      <alignment horizontal="right"/>
    </xf>
    <xf numFmtId="170" fontId="3" fillId="3" borderId="120" xfId="0" applyNumberFormat="1" applyFont="1" applyFill="1" applyBorder="1" applyAlignment="1">
      <alignment horizontal="right"/>
    </xf>
    <xf numFmtId="2" fontId="3" fillId="3" borderId="121" xfId="0" applyNumberFormat="1" applyFont="1" applyFill="1" applyBorder="1" applyAlignment="1">
      <alignment horizontal="right"/>
    </xf>
    <xf numFmtId="2" fontId="4" fillId="0" borderId="119" xfId="0" applyNumberFormat="1" applyFont="1" applyBorder="1" applyAlignment="1">
      <alignment horizontal="right"/>
    </xf>
    <xf numFmtId="2" fontId="4" fillId="0" borderId="122" xfId="0" applyNumberFormat="1" applyFont="1" applyBorder="1" applyAlignment="1">
      <alignment horizontal="right"/>
    </xf>
    <xf numFmtId="170" fontId="3" fillId="3" borderId="56" xfId="0" applyNumberFormat="1" applyFont="1" applyFill="1" applyBorder="1" applyAlignment="1">
      <alignment horizontal="right"/>
    </xf>
    <xf numFmtId="170" fontId="3" fillId="3" borderId="69" xfId="0" applyNumberFormat="1" applyFont="1" applyFill="1" applyBorder="1" applyAlignment="1">
      <alignment horizontal="right"/>
    </xf>
    <xf numFmtId="170" fontId="3" fillId="3" borderId="123" xfId="0" applyNumberFormat="1" applyFont="1" applyFill="1" applyBorder="1" applyAlignment="1">
      <alignment horizontal="right"/>
    </xf>
    <xf numFmtId="2" fontId="3" fillId="3" borderId="124" xfId="0" applyNumberFormat="1" applyFont="1" applyFill="1" applyBorder="1" applyAlignment="1">
      <alignment horizontal="right"/>
    </xf>
    <xf numFmtId="2" fontId="4" fillId="0" borderId="69" xfId="0" applyNumberFormat="1" applyFont="1" applyBorder="1" applyAlignment="1">
      <alignment horizontal="right"/>
    </xf>
    <xf numFmtId="2" fontId="4" fillId="0" borderId="71" xfId="0" applyNumberFormat="1" applyFont="1" applyBorder="1" applyAlignment="1">
      <alignment horizontal="right"/>
    </xf>
    <xf numFmtId="170" fontId="3" fillId="3" borderId="125" xfId="0" applyNumberFormat="1" applyFont="1" applyFill="1" applyBorder="1" applyAlignment="1">
      <alignment horizontal="right"/>
    </xf>
    <xf numFmtId="170" fontId="3" fillId="3" borderId="126" xfId="0" applyNumberFormat="1" applyFont="1" applyFill="1" applyBorder="1" applyAlignment="1">
      <alignment horizontal="right"/>
    </xf>
    <xf numFmtId="170" fontId="3" fillId="3" borderId="127" xfId="0" applyNumberFormat="1" applyFont="1" applyFill="1" applyBorder="1" applyAlignment="1">
      <alignment horizontal="right"/>
    </xf>
    <xf numFmtId="2" fontId="3" fillId="3" borderId="128" xfId="0" applyNumberFormat="1" applyFont="1" applyFill="1" applyBorder="1" applyAlignment="1">
      <alignment horizontal="right"/>
    </xf>
    <xf numFmtId="2" fontId="3" fillId="3" borderId="126" xfId="0" applyNumberFormat="1" applyFont="1" applyFill="1" applyBorder="1" applyAlignment="1">
      <alignment horizontal="right"/>
    </xf>
    <xf numFmtId="2" fontId="4" fillId="3" borderId="95" xfId="0" applyNumberFormat="1" applyFont="1" applyFill="1" applyBorder="1" applyAlignment="1">
      <alignment horizontal="right"/>
    </xf>
    <xf numFmtId="170" fontId="3" fillId="3" borderId="130" xfId="0" applyNumberFormat="1" applyFont="1" applyFill="1" applyBorder="1" applyAlignment="1">
      <alignment horizontal="right"/>
    </xf>
    <xf numFmtId="170" fontId="3" fillId="3" borderId="131" xfId="0" applyNumberFormat="1" applyFont="1" applyFill="1" applyBorder="1" applyAlignment="1">
      <alignment horizontal="right"/>
    </xf>
    <xf numFmtId="170" fontId="3" fillId="3" borderId="132" xfId="0" applyNumberFormat="1" applyFont="1" applyFill="1" applyBorder="1" applyAlignment="1">
      <alignment horizontal="right"/>
    </xf>
    <xf numFmtId="2" fontId="3" fillId="3" borderId="130" xfId="0" applyNumberFormat="1" applyFont="1" applyFill="1" applyBorder="1" applyAlignment="1">
      <alignment horizontal="right"/>
    </xf>
    <xf numFmtId="2" fontId="4" fillId="0" borderId="133" xfId="0" applyNumberFormat="1" applyFont="1" applyBorder="1" applyAlignment="1">
      <alignment horizontal="right"/>
    </xf>
    <xf numFmtId="2" fontId="4" fillId="0" borderId="134" xfId="0" applyNumberFormat="1" applyFont="1" applyBorder="1" applyAlignment="1">
      <alignment horizontal="right"/>
    </xf>
    <xf numFmtId="49" fontId="3" fillId="3" borderId="118" xfId="0" applyNumberFormat="1" applyFont="1" applyFill="1" applyBorder="1" applyAlignment="1">
      <alignment horizontal="right"/>
    </xf>
    <xf numFmtId="3" fontId="3" fillId="3" borderId="119" xfId="0" applyNumberFormat="1" applyFont="1" applyFill="1" applyBorder="1" applyAlignment="1">
      <alignment horizontal="right"/>
    </xf>
    <xf numFmtId="3" fontId="3" fillId="3" borderId="118" xfId="0" applyNumberFormat="1" applyFont="1" applyFill="1" applyBorder="1" applyAlignment="1">
      <alignment horizontal="right"/>
    </xf>
    <xf numFmtId="3" fontId="3" fillId="3" borderId="120" xfId="0" applyNumberFormat="1" applyFont="1" applyFill="1" applyBorder="1" applyAlignment="1">
      <alignment horizontal="right"/>
    </xf>
    <xf numFmtId="49" fontId="3" fillId="3" borderId="56" xfId="0" applyNumberFormat="1" applyFont="1" applyFill="1" applyBorder="1" applyAlignment="1">
      <alignment horizontal="right"/>
    </xf>
    <xf numFmtId="3" fontId="3" fillId="3" borderId="69" xfId="0" applyNumberFormat="1" applyFont="1" applyFill="1" applyBorder="1" applyAlignment="1">
      <alignment horizontal="right"/>
    </xf>
    <xf numFmtId="3" fontId="3" fillId="3" borderId="123" xfId="0" applyNumberFormat="1" applyFont="1" applyFill="1" applyBorder="1" applyAlignment="1">
      <alignment horizontal="right"/>
    </xf>
    <xf numFmtId="49" fontId="3" fillId="3" borderId="125" xfId="0" applyNumberFormat="1" applyFont="1" applyFill="1" applyBorder="1" applyAlignment="1">
      <alignment horizontal="right"/>
    </xf>
    <xf numFmtId="49" fontId="3" fillId="3" borderId="130" xfId="0" applyNumberFormat="1" applyFont="1" applyFill="1" applyBorder="1" applyAlignment="1">
      <alignment horizontal="right"/>
    </xf>
    <xf numFmtId="3" fontId="4" fillId="3" borderId="133" xfId="0" applyNumberFormat="1" applyFont="1" applyFill="1" applyBorder="1" applyAlignment="1">
      <alignment horizontal="right"/>
    </xf>
    <xf numFmtId="9" fontId="3" fillId="2" borderId="117" xfId="2" applyFont="1" applyFill="1" applyBorder="1" applyAlignment="1">
      <alignment horizontal="left" indent="1"/>
    </xf>
    <xf numFmtId="167" fontId="3" fillId="3" borderId="118" xfId="2" applyNumberFormat="1" applyFont="1" applyFill="1" applyBorder="1" applyAlignment="1">
      <alignment horizontal="right"/>
    </xf>
    <xf numFmtId="167" fontId="3" fillId="3" borderId="119" xfId="2" applyNumberFormat="1" applyFont="1" applyFill="1" applyBorder="1" applyAlignment="1">
      <alignment horizontal="right"/>
    </xf>
    <xf numFmtId="167" fontId="3" fillId="3" borderId="120" xfId="2" applyNumberFormat="1" applyFont="1" applyFill="1" applyBorder="1" applyAlignment="1">
      <alignment horizontal="right"/>
    </xf>
    <xf numFmtId="167" fontId="3" fillId="3" borderId="121" xfId="0" applyNumberFormat="1" applyFont="1" applyFill="1" applyBorder="1" applyAlignment="1">
      <alignment horizontal="right"/>
    </xf>
    <xf numFmtId="167" fontId="4" fillId="0" borderId="119" xfId="0" applyNumberFormat="1" applyFont="1" applyBorder="1" applyAlignment="1">
      <alignment horizontal="right"/>
    </xf>
    <xf numFmtId="167" fontId="4" fillId="0" borderId="122" xfId="0" applyNumberFormat="1" applyFont="1" applyBorder="1" applyAlignment="1">
      <alignment horizontal="right"/>
    </xf>
    <xf numFmtId="9" fontId="3" fillId="2" borderId="11" xfId="2" applyFont="1" applyFill="1" applyBorder="1" applyAlignment="1">
      <alignment horizontal="left" indent="1"/>
    </xf>
    <xf numFmtId="167" fontId="3" fillId="3" borderId="56" xfId="2" applyNumberFormat="1" applyFont="1" applyFill="1" applyBorder="1" applyAlignment="1">
      <alignment horizontal="right"/>
    </xf>
    <xf numFmtId="167" fontId="3" fillId="3" borderId="69" xfId="2" applyNumberFormat="1" applyFont="1" applyFill="1" applyBorder="1" applyAlignment="1">
      <alignment horizontal="right"/>
    </xf>
    <xf numFmtId="167" fontId="3" fillId="3" borderId="123" xfId="2" applyNumberFormat="1" applyFont="1" applyFill="1" applyBorder="1" applyAlignment="1">
      <alignment horizontal="right"/>
    </xf>
    <xf numFmtId="167" fontId="3" fillId="3" borderId="124" xfId="0" applyNumberFormat="1" applyFont="1" applyFill="1" applyBorder="1" applyAlignment="1">
      <alignment horizontal="right"/>
    </xf>
    <xf numFmtId="167" fontId="4" fillId="0" borderId="69" xfId="0" applyNumberFormat="1" applyFont="1" applyBorder="1" applyAlignment="1">
      <alignment horizontal="right"/>
    </xf>
    <xf numFmtId="167" fontId="4" fillId="0" borderId="71" xfId="0" applyNumberFormat="1" applyFont="1" applyBorder="1" applyAlignment="1">
      <alignment horizontal="right"/>
    </xf>
    <xf numFmtId="167" fontId="3" fillId="3" borderId="125" xfId="2" applyNumberFormat="1" applyFont="1" applyFill="1" applyBorder="1" applyAlignment="1">
      <alignment horizontal="right"/>
    </xf>
    <xf numFmtId="167" fontId="3" fillId="3" borderId="126" xfId="2" applyNumberFormat="1" applyFont="1" applyFill="1" applyBorder="1" applyAlignment="1">
      <alignment horizontal="right"/>
    </xf>
    <xf numFmtId="167" fontId="3" fillId="3" borderId="127" xfId="2" applyNumberFormat="1" applyFont="1" applyFill="1" applyBorder="1" applyAlignment="1">
      <alignment horizontal="right"/>
    </xf>
    <xf numFmtId="167" fontId="3" fillId="3" borderId="128" xfId="0" applyNumberFormat="1" applyFont="1" applyFill="1" applyBorder="1" applyAlignment="1">
      <alignment horizontal="right"/>
    </xf>
    <xf numFmtId="167" fontId="3" fillId="3" borderId="126" xfId="0" applyNumberFormat="1" applyFont="1" applyFill="1" applyBorder="1" applyAlignment="1">
      <alignment horizontal="right"/>
    </xf>
    <xf numFmtId="167" fontId="4" fillId="3" borderId="95" xfId="0" applyNumberFormat="1" applyFont="1" applyFill="1" applyBorder="1" applyAlignment="1">
      <alignment horizontal="right"/>
    </xf>
    <xf numFmtId="167" fontId="3" fillId="3" borderId="130" xfId="2" applyNumberFormat="1" applyFont="1" applyFill="1" applyBorder="1" applyAlignment="1">
      <alignment horizontal="right"/>
    </xf>
    <xf numFmtId="167" fontId="3" fillId="3" borderId="131" xfId="2" applyNumberFormat="1" applyFont="1" applyFill="1" applyBorder="1" applyAlignment="1">
      <alignment horizontal="right"/>
    </xf>
    <xf numFmtId="167" fontId="3" fillId="3" borderId="132" xfId="2" applyNumberFormat="1" applyFont="1" applyFill="1" applyBorder="1" applyAlignment="1">
      <alignment horizontal="right"/>
    </xf>
    <xf numFmtId="167" fontId="4" fillId="3" borderId="133" xfId="2" applyNumberFormat="1" applyFont="1" applyFill="1" applyBorder="1" applyAlignment="1">
      <alignment horizontal="right"/>
    </xf>
    <xf numFmtId="167" fontId="4" fillId="3" borderId="134" xfId="2" applyNumberFormat="1" applyFont="1" applyFill="1" applyBorder="1" applyAlignment="1">
      <alignment horizontal="right"/>
    </xf>
    <xf numFmtId="167" fontId="4" fillId="3" borderId="125" xfId="2" applyNumberFormat="1" applyFont="1" applyFill="1" applyBorder="1" applyAlignment="1">
      <alignment horizontal="right"/>
    </xf>
    <xf numFmtId="167" fontId="4" fillId="3" borderId="127" xfId="2" applyNumberFormat="1" applyFont="1" applyFill="1" applyBorder="1" applyAlignment="1">
      <alignment horizontal="right"/>
    </xf>
    <xf numFmtId="0" fontId="13" fillId="2" borderId="100" xfId="0" applyFont="1" applyFill="1" applyBorder="1" applyAlignment="1">
      <alignment horizontal="centerContinuous" vertical="center"/>
    </xf>
    <xf numFmtId="0" fontId="13" fillId="2" borderId="135" xfId="0" applyFont="1" applyFill="1" applyBorder="1" applyAlignment="1">
      <alignment horizontal="centerContinuous" vertical="center"/>
    </xf>
    <xf numFmtId="3" fontId="3" fillId="2" borderId="137" xfId="0" applyNumberFormat="1" applyFont="1" applyFill="1" applyBorder="1" applyAlignment="1">
      <alignment horizontal="left" indent="1"/>
    </xf>
    <xf numFmtId="167" fontId="4" fillId="3" borderId="141" xfId="2" applyNumberFormat="1" applyFont="1" applyFill="1" applyBorder="1" applyAlignment="1">
      <alignment horizontal="right"/>
    </xf>
    <xf numFmtId="167" fontId="4" fillId="3" borderId="142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  <xf numFmtId="9" fontId="3" fillId="0" borderId="0" xfId="2" applyFont="1" applyFill="1" applyBorder="1" applyAlignment="1">
      <alignment horizontal="right"/>
    </xf>
    <xf numFmtId="3" fontId="3" fillId="0" borderId="0" xfId="0" applyNumberFormat="1" applyFont="1" applyAlignment="1">
      <alignment horizontal="left"/>
    </xf>
    <xf numFmtId="3" fontId="12" fillId="0" borderId="0" xfId="0" applyNumberFormat="1" applyFont="1" applyAlignment="1">
      <alignment horizontal="centerContinuous" vertical="center" wrapText="1"/>
    </xf>
    <xf numFmtId="3" fontId="12" fillId="0" borderId="0" xfId="0" applyNumberFormat="1" applyFont="1" applyAlignment="1">
      <alignment horizontal="center"/>
    </xf>
    <xf numFmtId="164" fontId="5" fillId="0" borderId="0" xfId="1" applyFont="1" applyFill="1" applyBorder="1" applyAlignment="1"/>
    <xf numFmtId="3" fontId="2" fillId="2" borderId="46" xfId="0" applyNumberFormat="1" applyFont="1" applyFill="1" applyBorder="1" applyAlignment="1">
      <alignment horizontal="centerContinuous" vertical="center" wrapText="1"/>
    </xf>
    <xf numFmtId="3" fontId="2" fillId="2" borderId="144" xfId="0" applyNumberFormat="1" applyFont="1" applyFill="1" applyBorder="1" applyAlignment="1">
      <alignment horizontal="center" vertical="center" wrapText="1"/>
    </xf>
    <xf numFmtId="3" fontId="2" fillId="2" borderId="145" xfId="0" applyNumberFormat="1" applyFont="1" applyFill="1" applyBorder="1" applyAlignment="1">
      <alignment horizontal="center" vertical="center" wrapText="1"/>
    </xf>
    <xf numFmtId="3" fontId="2" fillId="2" borderId="146" xfId="0" applyNumberFormat="1" applyFont="1" applyFill="1" applyBorder="1" applyAlignment="1">
      <alignment horizontal="center" vertical="center" wrapText="1"/>
    </xf>
    <xf numFmtId="3" fontId="2" fillId="2" borderId="147" xfId="0" applyNumberFormat="1" applyFont="1" applyFill="1" applyBorder="1" applyAlignment="1">
      <alignment horizontal="center" vertical="center" wrapText="1"/>
    </xf>
    <xf numFmtId="3" fontId="2" fillId="2" borderId="148" xfId="0" applyNumberFormat="1" applyFont="1" applyFill="1" applyBorder="1" applyAlignment="1">
      <alignment horizontal="center" vertical="center" wrapText="1"/>
    </xf>
    <xf numFmtId="3" fontId="2" fillId="2" borderId="149" xfId="0" applyNumberFormat="1" applyFont="1" applyFill="1" applyBorder="1" applyAlignment="1">
      <alignment horizontal="centerContinuous" vertical="center"/>
    </xf>
    <xf numFmtId="3" fontId="2" fillId="2" borderId="150" xfId="0" applyNumberFormat="1" applyFont="1" applyFill="1" applyBorder="1" applyAlignment="1">
      <alignment horizontal="centerContinuous" vertical="center"/>
    </xf>
    <xf numFmtId="3" fontId="2" fillId="2" borderId="151" xfId="0" applyNumberFormat="1" applyFont="1" applyFill="1" applyBorder="1" applyAlignment="1">
      <alignment horizontal="centerContinuous" vertical="center"/>
    </xf>
    <xf numFmtId="3" fontId="2" fillId="2" borderId="152" xfId="0" applyNumberFormat="1" applyFont="1" applyFill="1" applyBorder="1" applyAlignment="1">
      <alignment horizontal="centerContinuous" vertical="center"/>
    </xf>
    <xf numFmtId="3" fontId="2" fillId="2" borderId="19" xfId="0" applyNumberFormat="1" applyFont="1" applyFill="1" applyBorder="1" applyAlignment="1">
      <alignment horizontal="centerContinuous" vertical="center"/>
    </xf>
    <xf numFmtId="3" fontId="2" fillId="2" borderId="153" xfId="0" applyNumberFormat="1" applyFont="1" applyFill="1" applyBorder="1" applyAlignment="1">
      <alignment horizontal="centerContinuous" vertical="center"/>
    </xf>
    <xf numFmtId="3" fontId="2" fillId="2" borderId="65" xfId="0" applyNumberFormat="1" applyFont="1" applyFill="1" applyBorder="1" applyAlignment="1">
      <alignment horizontal="center"/>
    </xf>
    <xf numFmtId="167" fontId="3" fillId="3" borderId="148" xfId="2" applyNumberFormat="1" applyFont="1" applyFill="1" applyBorder="1" applyAlignment="1">
      <alignment horizontal="right"/>
    </xf>
    <xf numFmtId="3" fontId="2" fillId="2" borderId="154" xfId="0" applyNumberFormat="1" applyFont="1" applyFill="1" applyBorder="1" applyAlignment="1">
      <alignment horizontal="center"/>
    </xf>
    <xf numFmtId="167" fontId="3" fillId="3" borderId="71" xfId="2" applyNumberFormat="1" applyFont="1" applyFill="1" applyBorder="1" applyAlignment="1">
      <alignment horizontal="right"/>
    </xf>
    <xf numFmtId="164" fontId="5" fillId="0" borderId="0" xfId="1" applyFont="1" applyFill="1" applyBorder="1"/>
    <xf numFmtId="3" fontId="2" fillId="2" borderId="156" xfId="0" applyNumberFormat="1" applyFont="1" applyFill="1" applyBorder="1" applyAlignment="1">
      <alignment horizontal="center"/>
    </xf>
    <xf numFmtId="3" fontId="2" fillId="2" borderId="160" xfId="0" applyNumberFormat="1" applyFont="1" applyFill="1" applyBorder="1" applyAlignment="1">
      <alignment horizontal="center"/>
    </xf>
    <xf numFmtId="164" fontId="2" fillId="2" borderId="138" xfId="1" applyFont="1" applyFill="1" applyBorder="1" applyAlignment="1">
      <alignment horizontal="right"/>
    </xf>
    <xf numFmtId="164" fontId="2" fillId="2" borderId="142" xfId="1" applyFont="1" applyFill="1" applyBorder="1" applyAlignment="1">
      <alignment horizontal="right"/>
    </xf>
    <xf numFmtId="0" fontId="3" fillId="0" borderId="164" xfId="0" applyFont="1" applyBorder="1"/>
    <xf numFmtId="3" fontId="2" fillId="0" borderId="0" xfId="0" applyNumberFormat="1" applyFont="1" applyAlignment="1">
      <alignment horizontal="center" wrapText="1"/>
    </xf>
    <xf numFmtId="3" fontId="12" fillId="0" borderId="0" xfId="0" applyNumberFormat="1" applyFont="1" applyAlignment="1">
      <alignment horizontal="centerContinuous" vertical="center"/>
    </xf>
    <xf numFmtId="167" fontId="17" fillId="0" borderId="0" xfId="0" applyNumberFormat="1" applyFont="1"/>
    <xf numFmtId="167" fontId="4" fillId="0" borderId="0" xfId="2" applyNumberFormat="1" applyFont="1"/>
    <xf numFmtId="10" fontId="4" fillId="0" borderId="0" xfId="0" applyNumberFormat="1" applyFont="1"/>
    <xf numFmtId="2" fontId="4" fillId="0" borderId="0" xfId="0" applyNumberFormat="1" applyFont="1"/>
    <xf numFmtId="0" fontId="19" fillId="0" borderId="0" xfId="0" applyFont="1"/>
    <xf numFmtId="167" fontId="19" fillId="0" borderId="0" xfId="0" applyNumberFormat="1" applyFont="1"/>
    <xf numFmtId="0" fontId="2" fillId="3" borderId="0" xfId="0" quotePrefix="1" applyFont="1" applyFill="1" applyAlignment="1">
      <alignment horizontal="left"/>
    </xf>
    <xf numFmtId="167" fontId="2" fillId="3" borderId="0" xfId="2" applyNumberFormat="1" applyFont="1" applyFill="1"/>
    <xf numFmtId="0" fontId="20" fillId="0" borderId="0" xfId="0" applyFont="1"/>
    <xf numFmtId="3" fontId="2" fillId="2" borderId="2" xfId="0" applyNumberFormat="1" applyFont="1" applyFill="1" applyBorder="1" applyAlignment="1">
      <alignment horizontal="center" vertical="center"/>
    </xf>
    <xf numFmtId="3" fontId="2" fillId="2" borderId="113" xfId="0" quotePrefix="1" applyNumberFormat="1" applyFont="1" applyFill="1" applyBorder="1" applyAlignment="1">
      <alignment horizontal="center" vertical="center" wrapText="1"/>
    </xf>
    <xf numFmtId="3" fontId="2" fillId="2" borderId="111" xfId="0" quotePrefix="1" applyNumberFormat="1" applyFont="1" applyFill="1" applyBorder="1" applyAlignment="1">
      <alignment horizontal="center" vertical="center" wrapText="1"/>
    </xf>
    <xf numFmtId="3" fontId="2" fillId="2" borderId="112" xfId="0" quotePrefix="1" applyNumberFormat="1" applyFont="1" applyFill="1" applyBorder="1" applyAlignment="1">
      <alignment horizontal="center" vertical="center" wrapText="1"/>
    </xf>
    <xf numFmtId="3" fontId="21" fillId="0" borderId="0" xfId="0" quotePrefix="1" applyNumberFormat="1" applyFont="1" applyAlignment="1">
      <alignment horizontal="center" wrapText="1"/>
    </xf>
    <xf numFmtId="3" fontId="2" fillId="2" borderId="42" xfId="0" applyNumberFormat="1" applyFont="1" applyFill="1" applyBorder="1" applyAlignment="1">
      <alignment horizontal="center"/>
    </xf>
    <xf numFmtId="167" fontId="3" fillId="0" borderId="165" xfId="2" applyNumberFormat="1" applyFont="1" applyFill="1" applyBorder="1" applyAlignment="1">
      <alignment horizontal="right"/>
    </xf>
    <xf numFmtId="167" fontId="3" fillId="0" borderId="145" xfId="2" applyNumberFormat="1" applyFont="1" applyFill="1" applyBorder="1" applyAlignment="1">
      <alignment horizontal="right"/>
    </xf>
    <xf numFmtId="167" fontId="3" fillId="0" borderId="166" xfId="2" applyNumberFormat="1" applyFont="1" applyFill="1" applyBorder="1" applyAlignment="1">
      <alignment horizontal="right"/>
    </xf>
    <xf numFmtId="167" fontId="3" fillId="3" borderId="166" xfId="2" applyNumberFormat="1" applyFont="1" applyFill="1" applyBorder="1" applyAlignment="1">
      <alignment horizontal="right"/>
    </xf>
    <xf numFmtId="167" fontId="20" fillId="0" borderId="0" xfId="0" applyNumberFormat="1" applyFont="1"/>
    <xf numFmtId="3" fontId="2" fillId="2" borderId="12" xfId="0" applyNumberFormat="1" applyFont="1" applyFill="1" applyBorder="1" applyAlignment="1">
      <alignment horizontal="center"/>
    </xf>
    <xf numFmtId="167" fontId="3" fillId="0" borderId="123" xfId="2" applyNumberFormat="1" applyFont="1" applyFill="1" applyBorder="1" applyAlignment="1">
      <alignment horizontal="right"/>
    </xf>
    <xf numFmtId="167" fontId="3" fillId="0" borderId="56" xfId="2" applyNumberFormat="1" applyFont="1" applyFill="1" applyBorder="1" applyAlignment="1">
      <alignment horizontal="right"/>
    </xf>
    <xf numFmtId="167" fontId="3" fillId="0" borderId="69" xfId="2" applyNumberFormat="1" applyFont="1" applyFill="1" applyBorder="1" applyAlignment="1">
      <alignment horizontal="right"/>
    </xf>
    <xf numFmtId="10" fontId="20" fillId="0" borderId="0" xfId="0" applyNumberFormat="1" applyFont="1"/>
    <xf numFmtId="0" fontId="21" fillId="0" borderId="0" xfId="0" applyFont="1"/>
    <xf numFmtId="0" fontId="21" fillId="0" borderId="0" xfId="0" quotePrefix="1" applyFont="1" applyAlignment="1">
      <alignment horizontal="left"/>
    </xf>
    <xf numFmtId="3" fontId="2" fillId="2" borderId="23" xfId="0" applyNumberFormat="1" applyFont="1" applyFill="1" applyBorder="1" applyAlignment="1">
      <alignment horizontal="center"/>
    </xf>
    <xf numFmtId="167" fontId="3" fillId="0" borderId="127" xfId="2" applyNumberFormat="1" applyFont="1" applyFill="1" applyBorder="1" applyAlignment="1">
      <alignment horizontal="right"/>
    </xf>
    <xf numFmtId="167" fontId="3" fillId="0" borderId="125" xfId="2" applyNumberFormat="1" applyFont="1" applyFill="1" applyBorder="1" applyAlignment="1">
      <alignment horizontal="right"/>
    </xf>
    <xf numFmtId="167" fontId="3" fillId="0" borderId="126" xfId="2" applyNumberFormat="1" applyFont="1" applyFill="1" applyBorder="1" applyAlignment="1">
      <alignment horizontal="right"/>
    </xf>
    <xf numFmtId="3" fontId="2" fillId="2" borderId="167" xfId="0" applyNumberFormat="1" applyFont="1" applyFill="1" applyBorder="1" applyAlignment="1">
      <alignment horizontal="center"/>
    </xf>
    <xf numFmtId="2" fontId="2" fillId="2" borderId="140" xfId="2" applyNumberFormat="1" applyFont="1" applyFill="1" applyBorder="1" applyAlignment="1">
      <alignment horizontal="right"/>
    </xf>
    <xf numFmtId="164" fontId="2" fillId="2" borderId="139" xfId="1" applyFont="1" applyFill="1" applyBorder="1" applyAlignment="1">
      <alignment horizontal="right"/>
    </xf>
    <xf numFmtId="167" fontId="3" fillId="3" borderId="0" xfId="2" applyNumberFormat="1" applyFont="1" applyFill="1"/>
    <xf numFmtId="0" fontId="2" fillId="3" borderId="0" xfId="0" applyFont="1" applyFill="1"/>
    <xf numFmtId="3" fontId="2" fillId="2" borderId="168" xfId="0" applyNumberFormat="1" applyFont="1" applyFill="1" applyBorder="1" applyAlignment="1">
      <alignment horizontal="center" vertical="center" wrapText="1"/>
    </xf>
    <xf numFmtId="3" fontId="2" fillId="2" borderId="111" xfId="0" applyNumberFormat="1" applyFont="1" applyFill="1" applyBorder="1" applyAlignment="1">
      <alignment horizontal="center" vertical="center" wrapText="1"/>
    </xf>
    <xf numFmtId="167" fontId="2" fillId="2" borderId="111" xfId="2" applyNumberFormat="1" applyFont="1" applyFill="1" applyBorder="1" applyAlignment="1">
      <alignment horizontal="center" vertical="center" wrapText="1"/>
    </xf>
    <xf numFmtId="3" fontId="2" fillId="2" borderId="74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9" fontId="20" fillId="0" borderId="0" xfId="2" applyFont="1" applyFill="1" applyBorder="1" applyAlignment="1">
      <alignment vertical="center"/>
    </xf>
    <xf numFmtId="167" fontId="2" fillId="2" borderId="100" xfId="0" applyNumberFormat="1" applyFont="1" applyFill="1" applyBorder="1" applyAlignment="1">
      <alignment horizontal="centerContinuous" vertical="center"/>
    </xf>
    <xf numFmtId="0" fontId="2" fillId="2" borderId="101" xfId="0" applyFont="1" applyFill="1" applyBorder="1" applyAlignment="1">
      <alignment horizontal="centerContinuous" vertical="center"/>
    </xf>
    <xf numFmtId="3" fontId="3" fillId="3" borderId="169" xfId="0" applyNumberFormat="1" applyFont="1" applyFill="1" applyBorder="1" applyAlignment="1">
      <alignment horizontal="right"/>
    </xf>
    <xf numFmtId="4" fontId="3" fillId="3" borderId="118" xfId="0" applyNumberFormat="1" applyFont="1" applyFill="1" applyBorder="1" applyAlignment="1">
      <alignment horizontal="right"/>
    </xf>
    <xf numFmtId="167" fontId="3" fillId="3" borderId="119" xfId="0" applyNumberFormat="1" applyFont="1" applyFill="1" applyBorder="1" applyAlignment="1">
      <alignment horizontal="right"/>
    </xf>
    <xf numFmtId="167" fontId="3" fillId="3" borderId="122" xfId="2" applyNumberFormat="1" applyFont="1" applyFill="1" applyBorder="1" applyAlignment="1">
      <alignment horizontal="right"/>
    </xf>
    <xf numFmtId="3" fontId="3" fillId="2" borderId="29" xfId="0" applyNumberFormat="1" applyFont="1" applyFill="1" applyBorder="1" applyAlignment="1">
      <alignment horizontal="left" indent="1"/>
    </xf>
    <xf numFmtId="3" fontId="3" fillId="3" borderId="170" xfId="0" applyNumberFormat="1" applyFont="1" applyFill="1" applyBorder="1" applyAlignment="1">
      <alignment horizontal="right"/>
    </xf>
    <xf numFmtId="3" fontId="3" fillId="3" borderId="171" xfId="0" applyNumberFormat="1" applyFont="1" applyFill="1" applyBorder="1" applyAlignment="1">
      <alignment horizontal="right"/>
    </xf>
    <xf numFmtId="4" fontId="3" fillId="3" borderId="171" xfId="0" applyNumberFormat="1" applyFont="1" applyFill="1" applyBorder="1" applyAlignment="1">
      <alignment horizontal="right"/>
    </xf>
    <xf numFmtId="167" fontId="3" fillId="3" borderId="171" xfId="2" applyNumberFormat="1" applyFont="1" applyFill="1" applyBorder="1" applyAlignment="1">
      <alignment horizontal="right"/>
    </xf>
    <xf numFmtId="167" fontId="3" fillId="3" borderId="172" xfId="0" applyNumberFormat="1" applyFont="1" applyFill="1" applyBorder="1" applyAlignment="1">
      <alignment horizontal="right"/>
    </xf>
    <xf numFmtId="167" fontId="3" fillId="3" borderId="98" xfId="2" applyNumberFormat="1" applyFont="1" applyFill="1" applyBorder="1" applyAlignment="1">
      <alignment horizontal="right"/>
    </xf>
    <xf numFmtId="0" fontId="2" fillId="2" borderId="99" xfId="0" quotePrefix="1" applyFont="1" applyFill="1" applyBorder="1" applyAlignment="1">
      <alignment horizontal="centerContinuous" vertical="center"/>
    </xf>
    <xf numFmtId="167" fontId="3" fillId="0" borderId="122" xfId="2" applyNumberFormat="1" applyFont="1" applyFill="1" applyBorder="1" applyAlignment="1">
      <alignment horizontal="right"/>
    </xf>
    <xf numFmtId="167" fontId="3" fillId="0" borderId="98" xfId="2" applyNumberFormat="1" applyFont="1" applyFill="1" applyBorder="1" applyAlignment="1">
      <alignment horizontal="right"/>
    </xf>
    <xf numFmtId="0" fontId="2" fillId="2" borderId="109" xfId="0" applyFont="1" applyFill="1" applyBorder="1" applyAlignment="1">
      <alignment horizontal="centerContinuous" vertical="center"/>
    </xf>
    <xf numFmtId="0" fontId="2" fillId="2" borderId="110" xfId="0" applyFont="1" applyFill="1" applyBorder="1" applyAlignment="1">
      <alignment horizontal="centerContinuous" vertical="center"/>
    </xf>
    <xf numFmtId="167" fontId="2" fillId="2" borderId="110" xfId="0" applyNumberFormat="1" applyFont="1" applyFill="1" applyBorder="1" applyAlignment="1">
      <alignment horizontal="centerContinuous" vertical="center"/>
    </xf>
    <xf numFmtId="0" fontId="2" fillId="2" borderId="108" xfId="0" applyFont="1" applyFill="1" applyBorder="1" applyAlignment="1">
      <alignment horizontal="centerContinuous" vertical="center"/>
    </xf>
    <xf numFmtId="4" fontId="3" fillId="0" borderId="118" xfId="0" applyNumberFormat="1" applyFont="1" applyBorder="1" applyAlignment="1">
      <alignment horizontal="right"/>
    </xf>
    <xf numFmtId="3" fontId="3" fillId="0" borderId="118" xfId="0" applyNumberFormat="1" applyFont="1" applyBorder="1" applyAlignment="1">
      <alignment horizontal="right"/>
    </xf>
    <xf numFmtId="167" fontId="3" fillId="0" borderId="119" xfId="0" applyNumberFormat="1" applyFont="1" applyBorder="1" applyAlignment="1">
      <alignment horizontal="right"/>
    </xf>
    <xf numFmtId="4" fontId="3" fillId="0" borderId="171" xfId="0" applyNumberFormat="1" applyFont="1" applyBorder="1" applyAlignment="1">
      <alignment horizontal="right"/>
    </xf>
    <xf numFmtId="3" fontId="3" fillId="0" borderId="171" xfId="0" applyNumberFormat="1" applyFont="1" applyBorder="1" applyAlignment="1">
      <alignment horizontal="right"/>
    </xf>
    <xf numFmtId="167" fontId="3" fillId="0" borderId="172" xfId="0" applyNumberFormat="1" applyFont="1" applyBorder="1" applyAlignment="1">
      <alignment horizontal="right"/>
    </xf>
    <xf numFmtId="3" fontId="3" fillId="2" borderId="58" xfId="0" applyNumberFormat="1" applyFont="1" applyFill="1" applyBorder="1" applyAlignment="1">
      <alignment horizontal="left" indent="1"/>
    </xf>
    <xf numFmtId="3" fontId="3" fillId="3" borderId="59" xfId="0" applyNumberFormat="1" applyFont="1" applyFill="1" applyBorder="1" applyAlignment="1">
      <alignment horizontal="right"/>
    </xf>
    <xf numFmtId="3" fontId="3" fillId="3" borderId="60" xfId="0" applyNumberFormat="1" applyFont="1" applyFill="1" applyBorder="1" applyAlignment="1">
      <alignment horizontal="right"/>
    </xf>
    <xf numFmtId="4" fontId="3" fillId="3" borderId="60" xfId="0" applyNumberFormat="1" applyFont="1" applyFill="1" applyBorder="1" applyAlignment="1">
      <alignment horizontal="right"/>
    </xf>
    <xf numFmtId="4" fontId="3" fillId="0" borderId="60" xfId="0" applyNumberFormat="1" applyFont="1" applyBorder="1" applyAlignment="1">
      <alignment horizontal="right"/>
    </xf>
    <xf numFmtId="167" fontId="3" fillId="0" borderId="63" xfId="0" applyNumberFormat="1" applyFont="1" applyBorder="1" applyAlignment="1">
      <alignment horizontal="right"/>
    </xf>
    <xf numFmtId="167" fontId="3" fillId="0" borderId="72" xfId="2" applyNumberFormat="1" applyFont="1" applyFill="1" applyBorder="1" applyAlignment="1">
      <alignment horizontal="right"/>
    </xf>
    <xf numFmtId="3" fontId="3" fillId="2" borderId="16" xfId="0" applyNumberFormat="1" applyFont="1" applyFill="1" applyBorder="1" applyAlignment="1">
      <alignment horizontal="left" indent="1"/>
    </xf>
    <xf numFmtId="3" fontId="3" fillId="3" borderId="51" xfId="0" applyNumberFormat="1" applyFont="1" applyFill="1" applyBorder="1" applyAlignment="1">
      <alignment horizontal="right"/>
    </xf>
    <xf numFmtId="3" fontId="3" fillId="3" borderId="52" xfId="0" applyNumberFormat="1" applyFont="1" applyFill="1" applyBorder="1" applyAlignment="1">
      <alignment horizontal="right"/>
    </xf>
    <xf numFmtId="4" fontId="3" fillId="3" borderId="52" xfId="0" applyNumberFormat="1" applyFont="1" applyFill="1" applyBorder="1" applyAlignment="1">
      <alignment horizontal="right"/>
    </xf>
    <xf numFmtId="4" fontId="3" fillId="0" borderId="52" xfId="0" applyNumberFormat="1" applyFont="1" applyBorder="1" applyAlignment="1">
      <alignment horizontal="right"/>
    </xf>
    <xf numFmtId="167" fontId="3" fillId="0" borderId="67" xfId="0" applyNumberFormat="1" applyFont="1" applyBorder="1" applyAlignment="1">
      <alignment horizontal="right"/>
    </xf>
    <xf numFmtId="167" fontId="3" fillId="0" borderId="68" xfId="2" applyNumberFormat="1" applyFont="1" applyFill="1" applyBorder="1" applyAlignment="1">
      <alignment horizontal="right"/>
    </xf>
    <xf numFmtId="167" fontId="3" fillId="0" borderId="0" xfId="2" applyNumberFormat="1" applyFont="1" applyFill="1"/>
    <xf numFmtId="4" fontId="20" fillId="0" borderId="0" xfId="0" applyNumberFormat="1" applyFont="1"/>
    <xf numFmtId="2" fontId="20" fillId="0" borderId="0" xfId="0" applyNumberFormat="1" applyFont="1"/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3" fontId="13" fillId="0" borderId="143" xfId="0" applyNumberFormat="1" applyFont="1" applyBorder="1" applyAlignment="1">
      <alignment horizontal="centerContinuous" vertical="center"/>
    </xf>
    <xf numFmtId="49" fontId="13" fillId="0" borderId="143" xfId="0" applyNumberFormat="1" applyFont="1" applyBorder="1" applyAlignment="1">
      <alignment horizontal="center"/>
    </xf>
    <xf numFmtId="3" fontId="13" fillId="0" borderId="143" xfId="0" applyNumberFormat="1" applyFont="1" applyBorder="1" applyAlignment="1">
      <alignment horizontal="center"/>
    </xf>
    <xf numFmtId="49" fontId="2" fillId="2" borderId="177" xfId="3" applyNumberFormat="1" applyFont="1" applyFill="1" applyBorder="1" applyAlignment="1">
      <alignment horizontal="center" vertical="center" textRotation="90" wrapText="1"/>
    </xf>
    <xf numFmtId="49" fontId="2" fillId="2" borderId="171" xfId="3" applyNumberFormat="1" applyFont="1" applyFill="1" applyBorder="1" applyAlignment="1">
      <alignment horizontal="center" vertical="center" textRotation="90" wrapText="1"/>
    </xf>
    <xf numFmtId="168" fontId="2" fillId="2" borderId="171" xfId="3" applyNumberFormat="1" applyFont="1" applyFill="1" applyBorder="1" applyAlignment="1">
      <alignment horizontal="center" vertical="center" textRotation="90" wrapText="1"/>
    </xf>
    <xf numFmtId="168" fontId="13" fillId="2" borderId="171" xfId="3" applyNumberFormat="1" applyFont="1" applyFill="1" applyBorder="1" applyAlignment="1">
      <alignment horizontal="center" vertical="center" textRotation="90" wrapText="1"/>
    </xf>
    <xf numFmtId="167" fontId="2" fillId="2" borderId="172" xfId="3" applyNumberFormat="1" applyFont="1" applyFill="1" applyBorder="1" applyAlignment="1">
      <alignment horizontal="center" vertical="center" textRotation="90" wrapText="1"/>
    </xf>
    <xf numFmtId="169" fontId="2" fillId="2" borderId="98" xfId="2" applyNumberFormat="1" applyFont="1" applyFill="1" applyBorder="1" applyAlignment="1">
      <alignment horizontal="center" vertical="center" textRotation="90" wrapText="1"/>
    </xf>
    <xf numFmtId="3" fontId="2" fillId="2" borderId="178" xfId="0" quotePrefix="1" applyNumberFormat="1" applyFont="1" applyFill="1" applyBorder="1" applyAlignment="1">
      <alignment horizontal="left" vertical="center" indent="1"/>
    </xf>
    <xf numFmtId="49" fontId="2" fillId="2" borderId="179" xfId="0" applyNumberFormat="1" applyFont="1" applyFill="1" applyBorder="1" applyAlignment="1">
      <alignment vertical="center"/>
    </xf>
    <xf numFmtId="3" fontId="2" fillId="2" borderId="180" xfId="0" applyNumberFormat="1" applyFont="1" applyFill="1" applyBorder="1" applyAlignment="1">
      <alignment vertical="center"/>
    </xf>
    <xf numFmtId="3" fontId="2" fillId="0" borderId="181" xfId="3" applyNumberFormat="1" applyFont="1" applyBorder="1" applyAlignment="1">
      <alignment horizontal="right" vertical="center"/>
    </xf>
    <xf numFmtId="3" fontId="2" fillId="0" borderId="179" xfId="3" applyNumberFormat="1" applyFont="1" applyBorder="1" applyAlignment="1">
      <alignment horizontal="right" vertical="center"/>
    </xf>
    <xf numFmtId="3" fontId="13" fillId="0" borderId="179" xfId="2" applyNumberFormat="1" applyFont="1" applyFill="1" applyBorder="1" applyAlignment="1">
      <alignment horizontal="right" vertical="center"/>
    </xf>
    <xf numFmtId="167" fontId="2" fillId="0" borderId="182" xfId="2" applyNumberFormat="1" applyFont="1" applyFill="1" applyBorder="1" applyAlignment="1">
      <alignment horizontal="right" vertical="center"/>
    </xf>
    <xf numFmtId="167" fontId="13" fillId="0" borderId="136" xfId="3" applyNumberFormat="1" applyFont="1" applyBorder="1" applyAlignment="1">
      <alignment horizontal="right" vertical="center"/>
    </xf>
    <xf numFmtId="3" fontId="2" fillId="2" borderId="183" xfId="0" applyNumberFormat="1" applyFont="1" applyFill="1" applyBorder="1" applyAlignment="1">
      <alignment horizontal="left" vertical="center" indent="1"/>
    </xf>
    <xf numFmtId="0" fontId="13" fillId="2" borderId="184" xfId="0" applyFont="1" applyFill="1" applyBorder="1" applyAlignment="1">
      <alignment horizontal="center" vertical="center"/>
    </xf>
    <xf numFmtId="3" fontId="2" fillId="2" borderId="185" xfId="0" applyNumberFormat="1" applyFont="1" applyFill="1" applyBorder="1" applyAlignment="1">
      <alignment vertical="center"/>
    </xf>
    <xf numFmtId="3" fontId="2" fillId="0" borderId="186" xfId="0" applyNumberFormat="1" applyFont="1" applyBorder="1" applyAlignment="1">
      <alignment horizontal="right" vertical="center"/>
    </xf>
    <xf numFmtId="3" fontId="2" fillId="0" borderId="187" xfId="3" applyNumberFormat="1" applyFont="1" applyBorder="1" applyAlignment="1">
      <alignment horizontal="right" vertical="center"/>
    </xf>
    <xf numFmtId="3" fontId="13" fillId="0" borderId="187" xfId="2" applyNumberFormat="1" applyFont="1" applyFill="1" applyBorder="1" applyAlignment="1">
      <alignment horizontal="right" vertical="center"/>
    </xf>
    <xf numFmtId="167" fontId="2" fillId="0" borderId="187" xfId="2" applyNumberFormat="1" applyFont="1" applyFill="1" applyBorder="1" applyAlignment="1">
      <alignment horizontal="right" vertical="center"/>
    </xf>
    <xf numFmtId="167" fontId="13" fillId="0" borderId="188" xfId="3" applyNumberFormat="1" applyFont="1" applyBorder="1" applyAlignment="1">
      <alignment horizontal="right" vertical="center"/>
    </xf>
    <xf numFmtId="3" fontId="3" fillId="2" borderId="189" xfId="0" applyNumberFormat="1" applyFont="1" applyFill="1" applyBorder="1" applyAlignment="1">
      <alignment horizontal="left" vertical="center" indent="1"/>
    </xf>
    <xf numFmtId="0" fontId="3" fillId="2" borderId="190" xfId="0" applyFont="1" applyFill="1" applyBorder="1" applyAlignment="1">
      <alignment horizontal="center" vertical="center"/>
    </xf>
    <xf numFmtId="3" fontId="3" fillId="2" borderId="191" xfId="0" applyNumberFormat="1" applyFont="1" applyFill="1" applyBorder="1" applyAlignment="1">
      <alignment horizontal="left" vertical="center" indent="1"/>
    </xf>
    <xf numFmtId="3" fontId="4" fillId="0" borderId="192" xfId="0" applyNumberFormat="1" applyFont="1" applyBorder="1" applyAlignment="1">
      <alignment horizontal="right" vertical="center"/>
    </xf>
    <xf numFmtId="3" fontId="4" fillId="0" borderId="193" xfId="0" applyNumberFormat="1" applyFont="1" applyBorder="1" applyAlignment="1">
      <alignment horizontal="right" vertical="center"/>
    </xf>
    <xf numFmtId="167" fontId="4" fillId="0" borderId="193" xfId="0" applyNumberFormat="1" applyFont="1" applyBorder="1" applyAlignment="1">
      <alignment horizontal="right" vertical="center"/>
    </xf>
    <xf numFmtId="167" fontId="4" fillId="0" borderId="92" xfId="0" applyNumberFormat="1" applyFont="1" applyBorder="1" applyAlignment="1">
      <alignment horizontal="right" vertical="center"/>
    </xf>
    <xf numFmtId="3" fontId="3" fillId="2" borderId="55" xfId="0" applyNumberFormat="1" applyFont="1" applyFill="1" applyBorder="1" applyAlignment="1">
      <alignment horizontal="left" vertical="center" indent="1"/>
    </xf>
    <xf numFmtId="0" fontId="3" fillId="2" borderId="56" xfId="0" applyFont="1" applyFill="1" applyBorder="1" applyAlignment="1">
      <alignment horizontal="center" vertical="center"/>
    </xf>
    <xf numFmtId="3" fontId="3" fillId="2" borderId="194" xfId="0" applyNumberFormat="1" applyFont="1" applyFill="1" applyBorder="1" applyAlignment="1">
      <alignment horizontal="left" vertical="center" indent="1"/>
    </xf>
    <xf numFmtId="3" fontId="4" fillId="0" borderId="195" xfId="0" applyNumberFormat="1" applyFont="1" applyBorder="1" applyAlignment="1">
      <alignment horizontal="right" vertical="center"/>
    </xf>
    <xf numFmtId="3" fontId="4" fillId="0" borderId="56" xfId="0" applyNumberFormat="1" applyFont="1" applyBorder="1" applyAlignment="1">
      <alignment horizontal="right" vertical="center"/>
    </xf>
    <xf numFmtId="167" fontId="4" fillId="0" borderId="56" xfId="0" applyNumberFormat="1" applyFont="1" applyBorder="1" applyAlignment="1">
      <alignment horizontal="right" vertical="center"/>
    </xf>
    <xf numFmtId="167" fontId="4" fillId="0" borderId="71" xfId="0" applyNumberFormat="1" applyFont="1" applyBorder="1" applyAlignment="1">
      <alignment horizontal="right" vertical="center"/>
    </xf>
    <xf numFmtId="3" fontId="3" fillId="2" borderId="194" xfId="0" quotePrefix="1" applyNumberFormat="1" applyFont="1" applyFill="1" applyBorder="1" applyAlignment="1">
      <alignment horizontal="left" vertical="center" indent="1"/>
    </xf>
    <xf numFmtId="3" fontId="3" fillId="2" borderId="157" xfId="0" applyNumberFormat="1" applyFont="1" applyFill="1" applyBorder="1" applyAlignment="1">
      <alignment horizontal="left" vertical="center" indent="1"/>
    </xf>
    <xf numFmtId="0" fontId="3" fillId="2" borderId="125" xfId="0" applyFont="1" applyFill="1" applyBorder="1" applyAlignment="1">
      <alignment horizontal="center" vertical="center"/>
    </xf>
    <xf numFmtId="3" fontId="3" fillId="2" borderId="196" xfId="0" applyNumberFormat="1" applyFont="1" applyFill="1" applyBorder="1" applyAlignment="1">
      <alignment horizontal="left" vertical="center" indent="1"/>
    </xf>
    <xf numFmtId="3" fontId="4" fillId="0" borderId="197" xfId="0" applyNumberFormat="1" applyFont="1" applyBorder="1" applyAlignment="1">
      <alignment horizontal="right" vertical="center"/>
    </xf>
    <xf numFmtId="3" fontId="4" fillId="0" borderId="125" xfId="0" applyNumberFormat="1" applyFont="1" applyBorder="1" applyAlignment="1">
      <alignment horizontal="right" vertical="center"/>
    </xf>
    <xf numFmtId="167" fontId="4" fillId="0" borderId="125" xfId="0" applyNumberFormat="1" applyFont="1" applyBorder="1" applyAlignment="1">
      <alignment horizontal="right" vertical="center"/>
    </xf>
    <xf numFmtId="167" fontId="4" fillId="0" borderId="95" xfId="0" applyNumberFormat="1" applyFont="1" applyBorder="1" applyAlignment="1">
      <alignment horizontal="right" vertical="center"/>
    </xf>
    <xf numFmtId="3" fontId="13" fillId="2" borderId="183" xfId="0" applyNumberFormat="1" applyFont="1" applyFill="1" applyBorder="1" applyAlignment="1">
      <alignment horizontal="left" vertical="center" indent="1"/>
    </xf>
    <xf numFmtId="0" fontId="13" fillId="2" borderId="198" xfId="0" applyFont="1" applyFill="1" applyBorder="1" applyAlignment="1">
      <alignment horizontal="center" vertical="center"/>
    </xf>
    <xf numFmtId="3" fontId="3" fillId="2" borderId="185" xfId="0" applyNumberFormat="1" applyFont="1" applyFill="1" applyBorder="1" applyAlignment="1">
      <alignment horizontal="left" vertical="center" indent="1"/>
    </xf>
    <xf numFmtId="3" fontId="2" fillId="0" borderId="184" xfId="0" applyNumberFormat="1" applyFont="1" applyBorder="1" applyAlignment="1">
      <alignment horizontal="right" vertical="center"/>
    </xf>
    <xf numFmtId="3" fontId="13" fillId="0" borderId="184" xfId="0" applyNumberFormat="1" applyFont="1" applyBorder="1" applyAlignment="1">
      <alignment horizontal="right" vertical="center"/>
    </xf>
    <xf numFmtId="167" fontId="2" fillId="0" borderId="184" xfId="0" applyNumberFormat="1" applyFont="1" applyBorder="1" applyAlignment="1">
      <alignment horizontal="right" vertical="center"/>
    </xf>
    <xf numFmtId="167" fontId="2" fillId="0" borderId="199" xfId="0" applyNumberFormat="1" applyFont="1" applyBorder="1" applyAlignment="1">
      <alignment horizontal="right" vertical="center"/>
    </xf>
    <xf numFmtId="3" fontId="3" fillId="2" borderId="200" xfId="0" applyNumberFormat="1" applyFont="1" applyFill="1" applyBorder="1" applyAlignment="1">
      <alignment horizontal="left" vertical="center" indent="1"/>
    </xf>
    <xf numFmtId="0" fontId="3" fillId="2" borderId="60" xfId="0" applyFont="1" applyFill="1" applyBorder="1" applyAlignment="1">
      <alignment horizontal="center" vertical="center"/>
    </xf>
    <xf numFmtId="3" fontId="3" fillId="2" borderId="201" xfId="0" applyNumberFormat="1" applyFont="1" applyFill="1" applyBorder="1" applyAlignment="1">
      <alignment horizontal="left" vertical="center" indent="1"/>
    </xf>
    <xf numFmtId="3" fontId="4" fillId="0" borderId="202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167" fontId="4" fillId="0" borderId="60" xfId="0" applyNumberFormat="1" applyFont="1" applyBorder="1" applyAlignment="1">
      <alignment horizontal="right" vertical="center"/>
    </xf>
    <xf numFmtId="167" fontId="4" fillId="0" borderId="72" xfId="0" applyNumberFormat="1" applyFont="1" applyBorder="1" applyAlignment="1">
      <alignment horizontal="right" vertical="center"/>
    </xf>
    <xf numFmtId="3" fontId="3" fillId="2" borderId="196" xfId="0" quotePrefix="1" applyNumberFormat="1" applyFont="1" applyFill="1" applyBorder="1" applyAlignment="1">
      <alignment horizontal="left" vertical="center" indent="1"/>
    </xf>
    <xf numFmtId="3" fontId="13" fillId="2" borderId="203" xfId="0" applyNumberFormat="1" applyFont="1" applyFill="1" applyBorder="1" applyAlignment="1">
      <alignment horizontal="left" vertical="center" indent="1"/>
    </xf>
    <xf numFmtId="0" fontId="13" fillId="2" borderId="125" xfId="0" applyFont="1" applyFill="1" applyBorder="1" applyAlignment="1">
      <alignment horizontal="center" vertical="center"/>
    </xf>
    <xf numFmtId="3" fontId="2" fillId="0" borderId="204" xfId="0" applyNumberFormat="1" applyFont="1" applyBorder="1" applyAlignment="1">
      <alignment horizontal="right" vertical="center"/>
    </xf>
    <xf numFmtId="3" fontId="3" fillId="0" borderId="192" xfId="0" applyNumberFormat="1" applyFont="1" applyBorder="1" applyAlignment="1">
      <alignment horizontal="right" vertical="center"/>
    </xf>
    <xf numFmtId="3" fontId="3" fillId="0" borderId="193" xfId="0" applyNumberFormat="1" applyFont="1" applyBorder="1" applyAlignment="1">
      <alignment horizontal="right" vertical="center"/>
    </xf>
    <xf numFmtId="167" fontId="3" fillId="0" borderId="193" xfId="0" applyNumberFormat="1" applyFont="1" applyBorder="1" applyAlignment="1">
      <alignment horizontal="right" vertical="center"/>
    </xf>
    <xf numFmtId="167" fontId="3" fillId="0" borderId="92" xfId="0" applyNumberFormat="1" applyFont="1" applyBorder="1" applyAlignment="1">
      <alignment horizontal="right" vertical="center"/>
    </xf>
    <xf numFmtId="3" fontId="3" fillId="2" borderId="194" xfId="0" applyNumberFormat="1" applyFont="1" applyFill="1" applyBorder="1" applyAlignment="1">
      <alignment horizontal="left" vertical="center" wrapText="1" indent="1"/>
    </xf>
    <xf numFmtId="3" fontId="3" fillId="0" borderId="195" xfId="0" applyNumberFormat="1" applyFont="1" applyBorder="1" applyAlignment="1">
      <alignment horizontal="right" vertical="center"/>
    </xf>
    <xf numFmtId="3" fontId="3" fillId="0" borderId="56" xfId="0" applyNumberFormat="1" applyFont="1" applyBorder="1" applyAlignment="1">
      <alignment horizontal="right" vertical="center"/>
    </xf>
    <xf numFmtId="167" fontId="3" fillId="0" borderId="56" xfId="0" applyNumberFormat="1" applyFont="1" applyBorder="1" applyAlignment="1">
      <alignment horizontal="right" vertical="center"/>
    </xf>
    <xf numFmtId="167" fontId="3" fillId="0" borderId="71" xfId="0" applyNumberFormat="1" applyFont="1" applyBorder="1" applyAlignment="1">
      <alignment horizontal="right" vertical="center"/>
    </xf>
    <xf numFmtId="3" fontId="4" fillId="0" borderId="205" xfId="0" applyNumberFormat="1" applyFont="1" applyBorder="1" applyAlignment="1">
      <alignment horizontal="right" vertical="center"/>
    </xf>
    <xf numFmtId="3" fontId="4" fillId="0" borderId="190" xfId="0" applyNumberFormat="1" applyFont="1" applyBorder="1" applyAlignment="1">
      <alignment horizontal="right" vertical="center"/>
    </xf>
    <xf numFmtId="167" fontId="4" fillId="0" borderId="190" xfId="0" applyNumberFormat="1" applyFont="1" applyBorder="1" applyAlignment="1">
      <alignment horizontal="right" vertical="center"/>
    </xf>
    <xf numFmtId="167" fontId="4" fillId="0" borderId="70" xfId="0" applyNumberFormat="1" applyFont="1" applyBorder="1" applyAlignment="1">
      <alignment horizontal="right" vertical="center"/>
    </xf>
    <xf numFmtId="0" fontId="3" fillId="2" borderId="56" xfId="0" quotePrefix="1" applyFont="1" applyFill="1" applyBorder="1" applyAlignment="1">
      <alignment horizontal="center" vertical="center"/>
    </xf>
    <xf numFmtId="3" fontId="3" fillId="0" borderId="186" xfId="0" applyNumberFormat="1" applyFont="1" applyBorder="1" applyAlignment="1">
      <alignment horizontal="right" vertical="center"/>
    </xf>
    <xf numFmtId="3" fontId="13" fillId="2" borderId="206" xfId="0" applyNumberFormat="1" applyFont="1" applyFill="1" applyBorder="1" applyAlignment="1">
      <alignment horizontal="left" vertical="center" indent="1"/>
    </xf>
    <xf numFmtId="0" fontId="13" fillId="2" borderId="207" xfId="0" applyFont="1" applyFill="1" applyBorder="1" applyAlignment="1">
      <alignment horizontal="center" vertical="center"/>
    </xf>
    <xf numFmtId="3" fontId="3" fillId="2" borderId="208" xfId="0" applyNumberFormat="1" applyFont="1" applyFill="1" applyBorder="1" applyAlignment="1">
      <alignment horizontal="left" vertical="center" indent="1"/>
    </xf>
    <xf numFmtId="3" fontId="3" fillId="2" borderId="206" xfId="0" applyNumberFormat="1" applyFont="1" applyFill="1" applyBorder="1" applyAlignment="1">
      <alignment horizontal="left" vertical="center" indent="1"/>
    </xf>
    <xf numFmtId="0" fontId="3" fillId="2" borderId="193" xfId="0" applyFont="1" applyFill="1" applyBorder="1" applyAlignment="1">
      <alignment horizontal="center" vertical="center"/>
    </xf>
    <xf numFmtId="3" fontId="3" fillId="2" borderId="209" xfId="0" applyNumberFormat="1" applyFont="1" applyFill="1" applyBorder="1" applyAlignment="1">
      <alignment horizontal="left" vertical="center" indent="1"/>
    </xf>
    <xf numFmtId="3" fontId="3" fillId="2" borderId="59" xfId="0" applyNumberFormat="1" applyFont="1" applyFill="1" applyBorder="1" applyAlignment="1">
      <alignment horizontal="left" vertical="center" indent="1"/>
    </xf>
    <xf numFmtId="3" fontId="2" fillId="0" borderId="210" xfId="0" applyNumberFormat="1" applyFont="1" applyBorder="1" applyAlignment="1">
      <alignment horizontal="right" vertical="center"/>
    </xf>
    <xf numFmtId="3" fontId="2" fillId="0" borderId="198" xfId="0" applyNumberFormat="1" applyFont="1" applyBorder="1" applyAlignment="1">
      <alignment horizontal="right" vertical="center"/>
    </xf>
    <xf numFmtId="3" fontId="13" fillId="0" borderId="198" xfId="0" applyNumberFormat="1" applyFont="1" applyBorder="1" applyAlignment="1">
      <alignment horizontal="right" vertical="center"/>
    </xf>
    <xf numFmtId="167" fontId="2" fillId="0" borderId="198" xfId="0" applyNumberFormat="1" applyFont="1" applyBorder="1" applyAlignment="1">
      <alignment horizontal="right" vertical="center"/>
    </xf>
    <xf numFmtId="167" fontId="2" fillId="0" borderId="211" xfId="0" applyNumberFormat="1" applyFont="1" applyBorder="1" applyAlignment="1">
      <alignment horizontal="right" vertical="center"/>
    </xf>
    <xf numFmtId="3" fontId="3" fillId="0" borderId="197" xfId="0" applyNumberFormat="1" applyFont="1" applyBorder="1" applyAlignment="1">
      <alignment horizontal="right" vertical="center"/>
    </xf>
    <xf numFmtId="3" fontId="13" fillId="2" borderId="208" xfId="0" applyNumberFormat="1" applyFont="1" applyFill="1" applyBorder="1" applyAlignment="1">
      <alignment horizontal="left" vertical="center" indent="1"/>
    </xf>
    <xf numFmtId="3" fontId="3" fillId="2" borderId="212" xfId="0" applyNumberFormat="1" applyFont="1" applyFill="1" applyBorder="1" applyAlignment="1">
      <alignment horizontal="left" vertical="center" indent="1"/>
    </xf>
    <xf numFmtId="0" fontId="3" fillId="2" borderId="190" xfId="0" quotePrefix="1" applyFont="1" applyFill="1" applyBorder="1" applyAlignment="1">
      <alignment horizontal="center" vertical="center"/>
    </xf>
    <xf numFmtId="3" fontId="3" fillId="2" borderId="191" xfId="0" quotePrefix="1" applyNumberFormat="1" applyFont="1" applyFill="1" applyBorder="1" applyAlignment="1">
      <alignment horizontal="left" vertical="center" indent="1"/>
    </xf>
    <xf numFmtId="3" fontId="4" fillId="0" borderId="210" xfId="0" applyNumberFormat="1" applyFont="1" applyBorder="1" applyAlignment="1">
      <alignment horizontal="right" vertical="center"/>
    </xf>
    <xf numFmtId="3" fontId="4" fillId="0" borderId="198" xfId="0" applyNumberFormat="1" applyFont="1" applyBorder="1" applyAlignment="1">
      <alignment horizontal="right" vertical="center"/>
    </xf>
    <xf numFmtId="167" fontId="4" fillId="0" borderId="198" xfId="0" applyNumberFormat="1" applyFont="1" applyBorder="1" applyAlignment="1">
      <alignment horizontal="right" vertical="center"/>
    </xf>
    <xf numFmtId="167" fontId="4" fillId="0" borderId="211" xfId="0" applyNumberFormat="1" applyFont="1" applyBorder="1" applyAlignment="1">
      <alignment horizontal="right" vertical="center"/>
    </xf>
    <xf numFmtId="0" fontId="3" fillId="2" borderId="60" xfId="0" quotePrefix="1" applyFont="1" applyFill="1" applyBorder="1" applyAlignment="1">
      <alignment horizontal="center" vertical="center"/>
    </xf>
    <xf numFmtId="3" fontId="13" fillId="2" borderId="212" xfId="0" applyNumberFormat="1" applyFont="1" applyFill="1" applyBorder="1" applyAlignment="1">
      <alignment horizontal="left" vertical="center" indent="1"/>
    </xf>
    <xf numFmtId="3" fontId="13" fillId="2" borderId="213" xfId="0" applyNumberFormat="1" applyFont="1" applyFill="1" applyBorder="1" applyAlignment="1">
      <alignment horizontal="left" vertical="center" indent="1"/>
    </xf>
    <xf numFmtId="3" fontId="2" fillId="2" borderId="183" xfId="0" applyNumberFormat="1" applyFont="1" applyFill="1" applyBorder="1" applyAlignment="1">
      <alignment horizontal="left" vertical="center" wrapText="1" indent="1"/>
    </xf>
    <xf numFmtId="0" fontId="2" fillId="2" borderId="198" xfId="0" applyFont="1" applyFill="1" applyBorder="1" applyAlignment="1">
      <alignment horizontal="center" vertical="center"/>
    </xf>
    <xf numFmtId="3" fontId="13" fillId="2" borderId="203" xfId="0" applyNumberFormat="1" applyFont="1" applyFill="1" applyBorder="1" applyAlignment="1">
      <alignment horizontal="left" vertical="center" wrapText="1" indent="1"/>
    </xf>
    <xf numFmtId="49" fontId="13" fillId="2" borderId="203" xfId="0" applyNumberFormat="1" applyFont="1" applyFill="1" applyBorder="1" applyAlignment="1">
      <alignment horizontal="left" vertical="center" wrapText="1" indent="1"/>
    </xf>
    <xf numFmtId="3" fontId="2" fillId="0" borderId="198" xfId="2" applyNumberFormat="1" applyFont="1" applyFill="1" applyBorder="1" applyAlignment="1">
      <alignment horizontal="right" vertical="center"/>
    </xf>
    <xf numFmtId="0" fontId="13" fillId="2" borderId="203" xfId="4" applyFont="1" applyFill="1" applyBorder="1" applyAlignment="1">
      <alignment horizontal="left" wrapText="1" indent="1"/>
    </xf>
    <xf numFmtId="3" fontId="3" fillId="2" borderId="212" xfId="0" quotePrefix="1" applyNumberFormat="1" applyFont="1" applyFill="1" applyBorder="1" applyAlignment="1">
      <alignment horizontal="left" vertical="center" indent="1"/>
    </xf>
    <xf numFmtId="3" fontId="2" fillId="0" borderId="214" xfId="0" applyNumberFormat="1" applyFont="1" applyBorder="1" applyAlignment="1">
      <alignment horizontal="right" vertical="center"/>
    </xf>
    <xf numFmtId="3" fontId="13" fillId="0" borderId="214" xfId="0" applyNumberFormat="1" applyFont="1" applyBorder="1" applyAlignment="1">
      <alignment horizontal="right" vertical="center"/>
    </xf>
    <xf numFmtId="167" fontId="2" fillId="0" borderId="214" xfId="0" applyNumberFormat="1" applyFont="1" applyBorder="1" applyAlignment="1">
      <alignment horizontal="right" vertical="center"/>
    </xf>
    <xf numFmtId="167" fontId="2" fillId="0" borderId="215" xfId="0" applyNumberFormat="1" applyFont="1" applyBorder="1" applyAlignment="1">
      <alignment horizontal="right" vertical="center"/>
    </xf>
    <xf numFmtId="0" fontId="13" fillId="2" borderId="216" xfId="4" applyFont="1" applyFill="1" applyBorder="1" applyAlignment="1">
      <alignment horizontal="left" wrapText="1" indent="1"/>
    </xf>
    <xf numFmtId="0" fontId="13" fillId="2" borderId="214" xfId="0" applyFont="1" applyFill="1" applyBorder="1" applyAlignment="1">
      <alignment horizontal="center" vertical="center"/>
    </xf>
    <xf numFmtId="3" fontId="2" fillId="0" borderId="217" xfId="0" applyNumberFormat="1" applyFont="1" applyBorder="1" applyAlignment="1">
      <alignment horizontal="right" vertical="center"/>
    </xf>
    <xf numFmtId="0" fontId="13" fillId="2" borderId="138" xfId="0" applyFont="1" applyFill="1" applyBorder="1" applyAlignment="1">
      <alignment horizontal="center" vertical="center"/>
    </xf>
    <xf numFmtId="3" fontId="3" fillId="2" borderId="218" xfId="0" quotePrefix="1" applyNumberFormat="1" applyFont="1" applyFill="1" applyBorder="1" applyAlignment="1">
      <alignment horizontal="left" vertical="center" indent="1"/>
    </xf>
    <xf numFmtId="3" fontId="2" fillId="0" borderId="219" xfId="0" applyNumberFormat="1" applyFont="1" applyBorder="1" applyAlignment="1">
      <alignment horizontal="right" vertical="center"/>
    </xf>
    <xf numFmtId="3" fontId="2" fillId="0" borderId="138" xfId="0" applyNumberFormat="1" applyFont="1" applyBorder="1" applyAlignment="1">
      <alignment horizontal="right" vertical="center"/>
    </xf>
    <xf numFmtId="3" fontId="13" fillId="0" borderId="138" xfId="0" applyNumberFormat="1" applyFont="1" applyBorder="1" applyAlignment="1">
      <alignment horizontal="right" vertical="center"/>
    </xf>
    <xf numFmtId="167" fontId="2" fillId="0" borderId="138" xfId="0" applyNumberFormat="1" applyFont="1" applyBorder="1" applyAlignment="1">
      <alignment horizontal="right" vertical="center"/>
    </xf>
    <xf numFmtId="167" fontId="2" fillId="0" borderId="142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center"/>
    </xf>
    <xf numFmtId="3" fontId="13" fillId="2" borderId="161" xfId="0" applyNumberFormat="1" applyFont="1" applyFill="1" applyBorder="1" applyAlignment="1">
      <alignment horizontal="left" vertical="center" wrapText="1" indent="1"/>
    </xf>
    <xf numFmtId="0" fontId="21" fillId="0" borderId="0" xfId="0" applyFont="1" applyAlignment="1">
      <alignment horizontal="center" wrapText="1"/>
    </xf>
    <xf numFmtId="167" fontId="20" fillId="0" borderId="0" xfId="2" applyNumberFormat="1" applyFont="1" applyFill="1" applyBorder="1" applyAlignment="1">
      <alignment horizontal="right"/>
    </xf>
    <xf numFmtId="167" fontId="20" fillId="0" borderId="0" xfId="2" applyNumberFormat="1" applyFont="1" applyFill="1" applyBorder="1"/>
    <xf numFmtId="3" fontId="21" fillId="0" borderId="0" xfId="0" applyNumberFormat="1" applyFont="1" applyAlignment="1">
      <alignment horizontal="centerContinuous" vertical="center" wrapText="1"/>
    </xf>
    <xf numFmtId="3" fontId="21" fillId="0" borderId="0" xfId="0" applyNumberFormat="1" applyFont="1" applyAlignment="1">
      <alignment horizontal="center" wrapText="1"/>
    </xf>
    <xf numFmtId="164" fontId="20" fillId="0" borderId="0" xfId="1" applyFont="1" applyFill="1" applyBorder="1" applyAlignment="1">
      <alignment horizontal="center"/>
    </xf>
    <xf numFmtId="164" fontId="20" fillId="0" borderId="0" xfId="1" applyFont="1" applyFill="1" applyBorder="1"/>
    <xf numFmtId="164" fontId="20" fillId="0" borderId="0" xfId="1" applyFont="1" applyFill="1" applyBorder="1" applyAlignment="1"/>
    <xf numFmtId="167" fontId="3" fillId="0" borderId="164" xfId="0" applyNumberFormat="1" applyFont="1" applyBorder="1"/>
    <xf numFmtId="171" fontId="3" fillId="0" borderId="164" xfId="0" applyNumberFormat="1" applyFont="1" applyBorder="1"/>
    <xf numFmtId="4" fontId="3" fillId="3" borderId="53" xfId="0" applyNumberFormat="1" applyFont="1" applyFill="1" applyBorder="1" applyAlignment="1">
      <alignment horizontal="right" vertical="center"/>
    </xf>
    <xf numFmtId="165" fontId="3" fillId="3" borderId="220" xfId="0" applyNumberFormat="1" applyFont="1" applyFill="1" applyBorder="1" applyAlignment="1">
      <alignment horizontal="right"/>
    </xf>
    <xf numFmtId="167" fontId="3" fillId="0" borderId="221" xfId="2" applyNumberFormat="1" applyFont="1" applyFill="1" applyBorder="1" applyAlignment="1">
      <alignment horizontal="right"/>
    </xf>
    <xf numFmtId="167" fontId="3" fillId="0" borderId="222" xfId="2" applyNumberFormat="1" applyFont="1" applyFill="1" applyBorder="1" applyAlignment="1">
      <alignment horizontal="right"/>
    </xf>
    <xf numFmtId="167" fontId="3" fillId="0" borderId="223" xfId="2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horizontal="center"/>
    </xf>
    <xf numFmtId="165" fontId="3" fillId="3" borderId="8" xfId="0" applyNumberFormat="1" applyFont="1" applyFill="1" applyBorder="1" applyAlignment="1">
      <alignment horizontal="right"/>
    </xf>
    <xf numFmtId="165" fontId="3" fillId="0" borderId="36" xfId="5" applyNumberFormat="1" applyFont="1" applyBorder="1"/>
    <xf numFmtId="165" fontId="3" fillId="0" borderId="40" xfId="5" applyNumberFormat="1" applyFont="1" applyBorder="1"/>
    <xf numFmtId="167" fontId="3" fillId="3" borderId="144" xfId="2" applyNumberFormat="1" applyFont="1" applyFill="1" applyBorder="1" applyAlignment="1"/>
    <xf numFmtId="167" fontId="3" fillId="3" borderId="145" xfId="2" applyNumberFormat="1" applyFont="1" applyFill="1" applyBorder="1" applyAlignment="1"/>
    <xf numFmtId="167" fontId="3" fillId="3" borderId="146" xfId="2" applyNumberFormat="1" applyFont="1" applyFill="1" applyBorder="1" applyAlignment="1"/>
    <xf numFmtId="167" fontId="3" fillId="3" borderId="147" xfId="2" applyNumberFormat="1" applyFont="1" applyFill="1" applyBorder="1" applyAlignment="1"/>
    <xf numFmtId="167" fontId="3" fillId="3" borderId="148" xfId="2" applyNumberFormat="1" applyFont="1" applyFill="1" applyBorder="1" applyAlignment="1"/>
    <xf numFmtId="167" fontId="3" fillId="3" borderId="55" xfId="2" applyNumberFormat="1" applyFont="1" applyFill="1" applyBorder="1" applyAlignment="1"/>
    <xf numFmtId="167" fontId="3" fillId="3" borderId="56" xfId="2" applyNumberFormat="1" applyFont="1" applyFill="1" applyBorder="1" applyAlignment="1"/>
    <xf numFmtId="167" fontId="3" fillId="3" borderId="57" xfId="2" applyNumberFormat="1" applyFont="1" applyFill="1" applyBorder="1" applyAlignment="1"/>
    <xf numFmtId="167" fontId="3" fillId="0" borderId="155" xfId="2" applyNumberFormat="1" applyFont="1" applyFill="1" applyBorder="1" applyAlignment="1"/>
    <xf numFmtId="167" fontId="3" fillId="3" borderId="71" xfId="2" applyNumberFormat="1" applyFont="1" applyFill="1" applyBorder="1" applyAlignment="1"/>
    <xf numFmtId="167" fontId="3" fillId="3" borderId="157" xfId="2" applyNumberFormat="1" applyFont="1" applyFill="1" applyBorder="1" applyAlignment="1"/>
    <xf numFmtId="167" fontId="3" fillId="3" borderId="125" xfId="2" applyNumberFormat="1" applyFont="1" applyFill="1" applyBorder="1" applyAlignment="1"/>
    <xf numFmtId="167" fontId="3" fillId="3" borderId="158" xfId="2" applyNumberFormat="1" applyFont="1" applyFill="1" applyBorder="1" applyAlignment="1"/>
    <xf numFmtId="167" fontId="3" fillId="0" borderId="159" xfId="2" applyNumberFormat="1" applyFont="1" applyFill="1" applyBorder="1" applyAlignment="1"/>
    <xf numFmtId="167" fontId="3" fillId="3" borderId="95" xfId="2" applyNumberFormat="1" applyFont="1" applyFill="1" applyBorder="1" applyAlignment="1"/>
    <xf numFmtId="2" fontId="2" fillId="2" borderId="161" xfId="0" applyNumberFormat="1" applyFont="1" applyFill="1" applyBorder="1"/>
    <xf numFmtId="164" fontId="2" fillId="2" borderId="138" xfId="1" applyFont="1" applyFill="1" applyBorder="1" applyAlignment="1"/>
    <xf numFmtId="164" fontId="2" fillId="2" borderId="162" xfId="1" applyFont="1" applyFill="1" applyBorder="1" applyAlignment="1"/>
    <xf numFmtId="164" fontId="2" fillId="2" borderId="163" xfId="1" applyFont="1" applyFill="1" applyBorder="1" applyAlignment="1"/>
    <xf numFmtId="164" fontId="2" fillId="2" borderId="142" xfId="1" applyFont="1" applyFill="1" applyBorder="1" applyAlignment="1"/>
    <xf numFmtId="167" fontId="3" fillId="0" borderId="146" xfId="2" applyNumberFormat="1" applyFont="1" applyFill="1" applyBorder="1" applyAlignment="1"/>
    <xf numFmtId="167" fontId="3" fillId="0" borderId="57" xfId="2" applyNumberFormat="1" applyFont="1" applyFill="1" applyBorder="1" applyAlignment="1"/>
    <xf numFmtId="167" fontId="3" fillId="0" borderId="158" xfId="2" applyNumberFormat="1" applyFont="1" applyFill="1" applyBorder="1" applyAlignment="1"/>
    <xf numFmtId="167" fontId="3" fillId="3" borderId="155" xfId="2" applyNumberFormat="1" applyFont="1" applyFill="1" applyBorder="1" applyAlignment="1"/>
    <xf numFmtId="167" fontId="3" fillId="3" borderId="159" xfId="2" applyNumberFormat="1" applyFont="1" applyFill="1" applyBorder="1" applyAlignment="1"/>
    <xf numFmtId="164" fontId="2" fillId="2" borderId="161" xfId="1" applyFont="1" applyFill="1" applyBorder="1" applyAlignment="1"/>
    <xf numFmtId="2" fontId="2" fillId="2" borderId="138" xfId="0" applyNumberFormat="1" applyFont="1" applyFill="1" applyBorder="1"/>
    <xf numFmtId="2" fontId="2" fillId="2" borderId="162" xfId="0" applyNumberFormat="1" applyFont="1" applyFill="1" applyBorder="1"/>
    <xf numFmtId="2" fontId="2" fillId="2" borderId="163" xfId="0" applyNumberFormat="1" applyFont="1" applyFill="1" applyBorder="1"/>
    <xf numFmtId="2" fontId="2" fillId="2" borderId="142" xfId="0" applyNumberFormat="1" applyFont="1" applyFill="1" applyBorder="1"/>
    <xf numFmtId="164" fontId="2" fillId="5" borderId="162" xfId="1" applyFont="1" applyFill="1" applyBorder="1" applyAlignment="1"/>
    <xf numFmtId="49" fontId="2" fillId="2" borderId="4" xfId="0" applyNumberFormat="1" applyFont="1" applyFill="1" applyBorder="1" applyAlignment="1">
      <alignment horizontal="center"/>
    </xf>
    <xf numFmtId="166" fontId="3" fillId="0" borderId="53" xfId="0" applyNumberFormat="1" applyFont="1" applyBorder="1" applyAlignment="1">
      <alignment horizontal="right"/>
    </xf>
    <xf numFmtId="167" fontId="3" fillId="3" borderId="51" xfId="2" applyNumberFormat="1" applyFont="1" applyFill="1" applyBorder="1" applyAlignment="1">
      <alignment horizontal="right"/>
    </xf>
    <xf numFmtId="3" fontId="3" fillId="0" borderId="224" xfId="0" applyNumberFormat="1" applyFont="1" applyBorder="1" applyAlignment="1">
      <alignment horizontal="right" vertical="center"/>
    </xf>
    <xf numFmtId="3" fontId="3" fillId="0" borderId="225" xfId="0" applyNumberFormat="1" applyFont="1" applyBorder="1" applyAlignment="1">
      <alignment horizontal="right" vertical="center"/>
    </xf>
    <xf numFmtId="3" fontId="3" fillId="0" borderId="226" xfId="0" applyNumberFormat="1" applyFont="1" applyBorder="1" applyAlignment="1">
      <alignment horizontal="right" vertical="center"/>
    </xf>
    <xf numFmtId="3" fontId="3" fillId="0" borderId="227" xfId="0" applyNumberFormat="1" applyFont="1" applyBorder="1" applyAlignment="1">
      <alignment horizontal="right" vertical="center"/>
    </xf>
    <xf numFmtId="3" fontId="3" fillId="3" borderId="225" xfId="0" applyNumberFormat="1" applyFont="1" applyFill="1" applyBorder="1" applyAlignment="1">
      <alignment horizontal="right" vertical="center"/>
    </xf>
    <xf numFmtId="3" fontId="3" fillId="0" borderId="152" xfId="0" applyNumberFormat="1" applyFont="1" applyBorder="1" applyAlignment="1">
      <alignment horizontal="right" vertical="center"/>
    </xf>
    <xf numFmtId="167" fontId="3" fillId="3" borderId="62" xfId="2" applyNumberFormat="1" applyFont="1" applyFill="1" applyBorder="1" applyAlignment="1">
      <alignment horizontal="right"/>
    </xf>
    <xf numFmtId="169" fontId="2" fillId="2" borderId="172" xfId="2" applyNumberFormat="1" applyFont="1" applyFill="1" applyBorder="1" applyAlignment="1">
      <alignment horizontal="center" vertical="center" textRotation="90" wrapText="1"/>
    </xf>
    <xf numFmtId="0" fontId="2" fillId="5" borderId="171" xfId="0" applyFont="1" applyFill="1" applyBorder="1" applyAlignment="1">
      <alignment horizontal="center" vertical="center" wrapText="1"/>
    </xf>
    <xf numFmtId="0" fontId="2" fillId="5" borderId="98" xfId="0" applyFont="1" applyFill="1" applyBorder="1" applyAlignment="1">
      <alignment horizontal="center" vertical="center" wrapText="1"/>
    </xf>
    <xf numFmtId="167" fontId="13" fillId="0" borderId="179" xfId="2" applyNumberFormat="1" applyFont="1" applyFill="1" applyBorder="1" applyAlignment="1">
      <alignment horizontal="right" vertical="center"/>
    </xf>
    <xf numFmtId="167" fontId="13" fillId="0" borderId="187" xfId="2" applyNumberFormat="1" applyFont="1" applyFill="1" applyBorder="1" applyAlignment="1">
      <alignment horizontal="right" vertical="center"/>
    </xf>
    <xf numFmtId="167" fontId="13" fillId="0" borderId="184" xfId="0" applyNumberFormat="1" applyFont="1" applyBorder="1" applyAlignment="1">
      <alignment horizontal="right" vertical="center"/>
    </xf>
    <xf numFmtId="167" fontId="13" fillId="0" borderId="198" xfId="0" applyNumberFormat="1" applyFont="1" applyBorder="1" applyAlignment="1">
      <alignment horizontal="right" vertical="center"/>
    </xf>
    <xf numFmtId="167" fontId="13" fillId="0" borderId="214" xfId="0" applyNumberFormat="1" applyFont="1" applyBorder="1" applyAlignment="1">
      <alignment horizontal="right" vertical="center"/>
    </xf>
    <xf numFmtId="167" fontId="13" fillId="0" borderId="138" xfId="0" applyNumberFormat="1" applyFont="1" applyBorder="1" applyAlignment="1">
      <alignment horizontal="right" vertical="center"/>
    </xf>
    <xf numFmtId="49" fontId="2" fillId="2" borderId="170" xfId="3" applyNumberFormat="1" applyFont="1" applyFill="1" applyBorder="1" applyAlignment="1">
      <alignment horizontal="center" vertical="center" textRotation="90" wrapText="1"/>
    </xf>
    <xf numFmtId="3" fontId="2" fillId="0" borderId="178" xfId="3" applyNumberFormat="1" applyFont="1" applyBorder="1" applyAlignment="1">
      <alignment horizontal="right" vertical="center"/>
    </xf>
    <xf numFmtId="167" fontId="13" fillId="0" borderId="136" xfId="2" applyNumberFormat="1" applyFont="1" applyFill="1" applyBorder="1" applyAlignment="1">
      <alignment horizontal="right" vertical="center"/>
    </xf>
    <xf numFmtId="3" fontId="2" fillId="0" borderId="232" xfId="0" applyNumberFormat="1" applyFont="1" applyBorder="1" applyAlignment="1">
      <alignment horizontal="right" vertical="center"/>
    </xf>
    <xf numFmtId="167" fontId="13" fillId="0" borderId="188" xfId="2" applyNumberFormat="1" applyFont="1" applyFill="1" applyBorder="1" applyAlignment="1">
      <alignment horizontal="right" vertical="center"/>
    </xf>
    <xf numFmtId="0" fontId="2" fillId="2" borderId="16" xfId="0" quotePrefix="1" applyFont="1" applyFill="1" applyBorder="1" applyAlignment="1">
      <alignment horizontal="left" indent="1"/>
    </xf>
    <xf numFmtId="3" fontId="2" fillId="2" borderId="114" xfId="0" quotePrefix="1" applyNumberFormat="1" applyFont="1" applyFill="1" applyBorder="1" applyAlignment="1">
      <alignment horizontal="center" vertical="center" wrapText="1"/>
    </xf>
    <xf numFmtId="0" fontId="27" fillId="0" borderId="0" xfId="0" applyFont="1"/>
    <xf numFmtId="0" fontId="2" fillId="0" borderId="0" xfId="0" quotePrefix="1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 vertical="justify" wrapText="1"/>
    </xf>
    <xf numFmtId="0" fontId="2" fillId="0" borderId="0" xfId="0" applyFont="1" applyAlignment="1">
      <alignment horizontal="left" vertical="justify" wrapText="1"/>
    </xf>
    <xf numFmtId="0" fontId="7" fillId="0" borderId="0" xfId="0" quotePrefix="1" applyFont="1" applyAlignment="1">
      <alignment horizontal="left"/>
    </xf>
    <xf numFmtId="0" fontId="8" fillId="2" borderId="49" xfId="0" applyFont="1" applyFill="1" applyBorder="1" applyAlignment="1">
      <alignment horizontal="center" vertical="center" wrapText="1"/>
    </xf>
    <xf numFmtId="0" fontId="8" fillId="2" borderId="54" xfId="0" applyFont="1" applyFill="1" applyBorder="1" applyAlignment="1">
      <alignment horizontal="center" vertical="center" wrapText="1"/>
    </xf>
    <xf numFmtId="49" fontId="2" fillId="2" borderId="75" xfId="0" quotePrefix="1" applyNumberFormat="1" applyFont="1" applyFill="1" applyBorder="1" applyAlignment="1">
      <alignment horizontal="center" vertical="center"/>
    </xf>
    <xf numFmtId="49" fontId="2" fillId="2" borderId="76" xfId="0" quotePrefix="1" applyNumberFormat="1" applyFont="1" applyFill="1" applyBorder="1" applyAlignment="1">
      <alignment horizontal="center" vertical="center"/>
    </xf>
    <xf numFmtId="0" fontId="0" fillId="0" borderId="76" xfId="0" applyBorder="1" applyAlignment="1">
      <alignment vertical="center"/>
    </xf>
    <xf numFmtId="0" fontId="0" fillId="0" borderId="77" xfId="0" applyBorder="1" applyAlignment="1">
      <alignment vertical="center"/>
    </xf>
    <xf numFmtId="0" fontId="9" fillId="2" borderId="84" xfId="0" applyFont="1" applyFill="1" applyBorder="1" applyAlignment="1">
      <alignment horizontal="center" vertical="center" textRotation="90" shrinkToFit="1"/>
    </xf>
    <xf numFmtId="0" fontId="9" fillId="2" borderId="90" xfId="0" applyFont="1" applyFill="1" applyBorder="1" applyAlignment="1">
      <alignment horizontal="center" vertical="center" textRotation="90" shrinkToFit="1"/>
    </xf>
    <xf numFmtId="0" fontId="9" fillId="2" borderId="104" xfId="0" applyFont="1" applyFill="1" applyBorder="1" applyAlignment="1">
      <alignment horizontal="center" vertical="center" textRotation="90" shrinkToFit="1"/>
    </xf>
    <xf numFmtId="3" fontId="2" fillId="2" borderId="85" xfId="0" applyNumberFormat="1" applyFont="1" applyFill="1" applyBorder="1" applyAlignment="1">
      <alignment horizontal="left" wrapText="1" indent="1"/>
    </xf>
    <xf numFmtId="3" fontId="2" fillId="2" borderId="86" xfId="0" applyNumberFormat="1" applyFont="1" applyFill="1" applyBorder="1" applyAlignment="1">
      <alignment horizontal="left" wrapText="1" indent="1"/>
    </xf>
    <xf numFmtId="3" fontId="9" fillId="2" borderId="91" xfId="0" applyNumberFormat="1" applyFont="1" applyFill="1" applyBorder="1" applyAlignment="1">
      <alignment horizontal="center" vertical="center" textRotation="90" shrinkToFit="1"/>
    </xf>
    <xf numFmtId="3" fontId="9" fillId="2" borderId="94" xfId="0" applyNumberFormat="1" applyFont="1" applyFill="1" applyBorder="1" applyAlignment="1">
      <alignment horizontal="center" vertical="center" textRotation="90" shrinkToFit="1"/>
    </xf>
    <xf numFmtId="3" fontId="9" fillId="2" borderId="105" xfId="0" applyNumberFormat="1" applyFont="1" applyFill="1" applyBorder="1" applyAlignment="1">
      <alignment horizontal="center" vertical="center" textRotation="90" shrinkToFit="1"/>
    </xf>
    <xf numFmtId="49" fontId="2" fillId="2" borderId="77" xfId="0" quotePrefix="1" applyNumberFormat="1" applyFont="1" applyFill="1" applyBorder="1" applyAlignment="1">
      <alignment horizontal="center" vertical="center"/>
    </xf>
    <xf numFmtId="0" fontId="2" fillId="5" borderId="228" xfId="0" applyFont="1" applyFill="1" applyBorder="1" applyAlignment="1">
      <alignment horizontal="center" vertical="center" wrapText="1"/>
    </xf>
    <xf numFmtId="0" fontId="2" fillId="5" borderId="90" xfId="0" applyFont="1" applyFill="1" applyBorder="1" applyAlignment="1">
      <alignment horizontal="center" vertical="center" wrapText="1"/>
    </xf>
    <xf numFmtId="0" fontId="2" fillId="5" borderId="96" xfId="0" applyFont="1" applyFill="1" applyBorder="1" applyAlignment="1">
      <alignment horizontal="center" vertical="center" wrapText="1"/>
    </xf>
    <xf numFmtId="0" fontId="2" fillId="5" borderId="229" xfId="0" applyFont="1" applyFill="1" applyBorder="1" applyAlignment="1">
      <alignment horizontal="center" vertical="center" wrapText="1"/>
    </xf>
    <xf numFmtId="0" fontId="2" fillId="5" borderId="230" xfId="0" applyFont="1" applyFill="1" applyBorder="1" applyAlignment="1">
      <alignment horizontal="center" vertical="center" wrapText="1"/>
    </xf>
    <xf numFmtId="0" fontId="2" fillId="5" borderId="231" xfId="0" applyFont="1" applyFill="1" applyBorder="1" applyAlignment="1">
      <alignment horizontal="center" vertical="center" wrapText="1"/>
    </xf>
    <xf numFmtId="3" fontId="2" fillId="2" borderId="99" xfId="0" quotePrefix="1" applyNumberFormat="1" applyFont="1" applyFill="1" applyBorder="1" applyAlignment="1">
      <alignment horizontal="center" vertical="center"/>
    </xf>
    <xf numFmtId="3" fontId="2" fillId="2" borderId="100" xfId="0" quotePrefix="1" applyNumberFormat="1" applyFont="1" applyFill="1" applyBorder="1" applyAlignment="1">
      <alignment horizontal="center" vertical="center"/>
    </xf>
    <xf numFmtId="3" fontId="2" fillId="2" borderId="101" xfId="0" quotePrefix="1" applyNumberFormat="1" applyFont="1" applyFill="1" applyBorder="1" applyAlignment="1">
      <alignment horizontal="center" vertical="center"/>
    </xf>
    <xf numFmtId="0" fontId="9" fillId="2" borderId="96" xfId="0" applyFont="1" applyFill="1" applyBorder="1" applyAlignment="1">
      <alignment horizontal="center" vertical="center" textRotation="90" shrinkToFit="1"/>
    </xf>
    <xf numFmtId="3" fontId="2" fillId="2" borderId="75" xfId="0" quotePrefix="1" applyNumberFormat="1" applyFont="1" applyFill="1" applyBorder="1" applyAlignment="1">
      <alignment horizontal="center" vertical="center"/>
    </xf>
    <xf numFmtId="3" fontId="2" fillId="2" borderId="76" xfId="0" quotePrefix="1" applyNumberFormat="1" applyFont="1" applyFill="1" applyBorder="1" applyAlignment="1">
      <alignment horizontal="center" vertical="center"/>
    </xf>
    <xf numFmtId="3" fontId="2" fillId="2" borderId="77" xfId="0" quotePrefix="1" applyNumberFormat="1" applyFont="1" applyFill="1" applyBorder="1" applyAlignment="1">
      <alignment horizontal="center" vertical="center"/>
    </xf>
    <xf numFmtId="3" fontId="2" fillId="2" borderId="109" xfId="0" quotePrefix="1" applyNumberFormat="1" applyFont="1" applyFill="1" applyBorder="1" applyAlignment="1">
      <alignment horizontal="center" vertical="center"/>
    </xf>
    <xf numFmtId="3" fontId="2" fillId="2" borderId="110" xfId="0" quotePrefix="1" applyNumberFormat="1" applyFont="1" applyFill="1" applyBorder="1" applyAlignment="1">
      <alignment horizontal="center" vertical="center"/>
    </xf>
    <xf numFmtId="3" fontId="2" fillId="2" borderId="108" xfId="0" quotePrefix="1" applyNumberFormat="1" applyFont="1" applyFill="1" applyBorder="1" applyAlignment="1">
      <alignment horizontal="center" vertical="center"/>
    </xf>
    <xf numFmtId="0" fontId="11" fillId="0" borderId="94" xfId="0" applyFont="1" applyBorder="1" applyAlignment="1">
      <alignment horizontal="center" vertical="center" textRotation="90" shrinkToFit="1"/>
    </xf>
    <xf numFmtId="3" fontId="9" fillId="2" borderId="97" xfId="0" applyNumberFormat="1" applyFont="1" applyFill="1" applyBorder="1" applyAlignment="1">
      <alignment horizontal="center" vertical="center" textRotation="90" shrinkToFit="1"/>
    </xf>
    <xf numFmtId="0" fontId="2" fillId="0" borderId="0" xfId="0" quotePrefix="1" applyFont="1" applyAlignment="1">
      <alignment horizontal="left"/>
    </xf>
    <xf numFmtId="3" fontId="2" fillId="2" borderId="106" xfId="0" quotePrefix="1" applyNumberFormat="1" applyFont="1" applyFill="1" applyBorder="1" applyAlignment="1">
      <alignment horizontal="center" vertical="center"/>
    </xf>
    <xf numFmtId="3" fontId="2" fillId="2" borderId="0" xfId="0" quotePrefix="1" applyNumberFormat="1" applyFont="1" applyFill="1" applyAlignment="1">
      <alignment horizontal="center" vertical="center"/>
    </xf>
    <xf numFmtId="3" fontId="2" fillId="2" borderId="107" xfId="0" quotePrefix="1" applyNumberFormat="1" applyFont="1" applyFill="1" applyBorder="1" applyAlignment="1">
      <alignment horizontal="center" vertical="center"/>
    </xf>
    <xf numFmtId="0" fontId="2" fillId="0" borderId="143" xfId="0" applyFont="1" applyBorder="1" applyAlignment="1">
      <alignment horizontal="center"/>
    </xf>
    <xf numFmtId="0" fontId="2" fillId="0" borderId="143" xfId="0" quotePrefix="1" applyFont="1" applyBorder="1" applyAlignment="1">
      <alignment horizontal="center"/>
    </xf>
    <xf numFmtId="3" fontId="21" fillId="0" borderId="0" xfId="0" applyNumberFormat="1" applyFont="1" applyAlignment="1">
      <alignment horizontal="center"/>
    </xf>
    <xf numFmtId="0" fontId="2" fillId="2" borderId="173" xfId="3" applyFont="1" applyFill="1" applyBorder="1" applyAlignment="1">
      <alignment horizontal="center" vertical="center"/>
    </xf>
    <xf numFmtId="0" fontId="2" fillId="2" borderId="164" xfId="3" applyFont="1" applyFill="1" applyBorder="1" applyAlignment="1">
      <alignment horizontal="center" vertical="center"/>
    </xf>
    <xf numFmtId="0" fontId="0" fillId="0" borderId="164" xfId="0" applyBorder="1"/>
    <xf numFmtId="0" fontId="0" fillId="0" borderId="49" xfId="0" applyBorder="1"/>
    <xf numFmtId="3" fontId="2" fillId="2" borderId="173" xfId="0" applyNumberFormat="1" applyFont="1" applyFill="1" applyBorder="1" applyAlignment="1">
      <alignment horizontal="center" vertical="center" wrapText="1"/>
    </xf>
    <xf numFmtId="3" fontId="2" fillId="2" borderId="164" xfId="0" applyNumberFormat="1" applyFont="1" applyFill="1" applyBorder="1" applyAlignment="1">
      <alignment horizontal="center" vertical="center" wrapText="1"/>
    </xf>
    <xf numFmtId="3" fontId="2" fillId="2" borderId="174" xfId="0" applyNumberFormat="1" applyFont="1" applyFill="1" applyBorder="1" applyAlignment="1">
      <alignment horizontal="center" vertical="center" wrapText="1"/>
    </xf>
    <xf numFmtId="3" fontId="2" fillId="2" borderId="109" xfId="0" applyNumberFormat="1" applyFont="1" applyFill="1" applyBorder="1" applyAlignment="1">
      <alignment horizontal="center" vertical="center" wrapText="1"/>
    </xf>
    <xf numFmtId="3" fontId="2" fillId="2" borderId="110" xfId="0" applyNumberFormat="1" applyFont="1" applyFill="1" applyBorder="1" applyAlignment="1">
      <alignment horizontal="center" vertical="center" wrapText="1"/>
    </xf>
    <xf numFmtId="3" fontId="2" fillId="2" borderId="176" xfId="0" applyNumberFormat="1" applyFont="1" applyFill="1" applyBorder="1" applyAlignment="1">
      <alignment horizontal="center" vertical="center" wrapText="1"/>
    </xf>
    <xf numFmtId="0" fontId="2" fillId="2" borderId="175" xfId="3" quotePrefix="1" applyFont="1" applyFill="1" applyBorder="1" applyAlignment="1">
      <alignment horizontal="center" vertical="center"/>
    </xf>
    <xf numFmtId="0" fontId="2" fillId="2" borderId="47" xfId="3" applyFont="1" applyFill="1" applyBorder="1" applyAlignment="1">
      <alignment horizontal="center" vertical="center"/>
    </xf>
    <xf numFmtId="0" fontId="2" fillId="2" borderId="66" xfId="3" applyFont="1" applyFill="1" applyBorder="1" applyAlignment="1">
      <alignment horizontal="center" vertical="center"/>
    </xf>
    <xf numFmtId="0" fontId="2" fillId="2" borderId="175" xfId="3" applyFont="1" applyFill="1" applyBorder="1" applyAlignment="1">
      <alignment horizontal="center" vertical="center"/>
    </xf>
    <xf numFmtId="165" fontId="3" fillId="0" borderId="233" xfId="5" applyNumberFormat="1" applyFont="1" applyBorder="1"/>
    <xf numFmtId="165" fontId="3" fillId="0" borderId="234" xfId="5" applyNumberFormat="1" applyFont="1" applyBorder="1"/>
  </cellXfs>
  <cellStyles count="11">
    <cellStyle name="Čárka" xfId="1" builtinId="3"/>
    <cellStyle name="Čárka 2" xfId="6" xr:uid="{00000000-0005-0000-0000-000001000000}"/>
    <cellStyle name="Neutrální 2" xfId="7" xr:uid="{00000000-0005-0000-0000-000002000000}"/>
    <cellStyle name="Normal_VEK_96KS" xfId="8" xr:uid="{00000000-0005-0000-0000-000003000000}"/>
    <cellStyle name="Normální" xfId="0" builtinId="0"/>
    <cellStyle name="Normální 2" xfId="5" xr:uid="{00000000-0005-0000-0000-000005000000}"/>
    <cellStyle name="Normální 3" xfId="10" xr:uid="{00000000-0005-0000-0000-000006000000}"/>
    <cellStyle name="normální_29_12 tisk 200607" xfId="4" xr:uid="{00000000-0005-0000-0000-000007000000}"/>
    <cellStyle name="normální_Muchvs jaro_04" xfId="3" xr:uid="{00000000-0005-0000-0000-000008000000}"/>
    <cellStyle name="Procenta" xfId="2" builtinId="5"/>
    <cellStyle name="Procenta 2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2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4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5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6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7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9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1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3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5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7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9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1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3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4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5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7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8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9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83960757902863E-2"/>
          <c:y val="0.12269929335756108"/>
          <c:w val="0.92642241327690966"/>
          <c:h val="0.57055214723926384"/>
        </c:manualLayout>
      </c:layout>
      <c:areaChart>
        <c:grouping val="standard"/>
        <c:varyColors val="0"/>
        <c:ser>
          <c:idx val="0"/>
          <c:order val="0"/>
          <c:tx>
            <c:strRef>
              <c:f>'vš_vše CZ'!$A$4</c:f>
              <c:strCache>
                <c:ptCount val="1"/>
                <c:pt idx="0">
                  <c:v>počet podaných přihlášek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'vš_vše CZ'!$B$3:$AB$3</c:f>
              <c:strCache>
                <c:ptCount val="27"/>
                <c:pt idx="0">
                  <c:v>1999/2000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'vš_vše CZ'!$B$4:$AB$4</c:f>
              <c:numCache>
                <c:formatCode>#\ ##0.0</c:formatCode>
                <c:ptCount val="27"/>
                <c:pt idx="0">
                  <c:v>233.8</c:v>
                </c:pt>
                <c:pt idx="1">
                  <c:v>208.2</c:v>
                </c:pt>
                <c:pt idx="2">
                  <c:v>237.452</c:v>
                </c:pt>
                <c:pt idx="3">
                  <c:v>234</c:v>
                </c:pt>
                <c:pt idx="4">
                  <c:v>253.3</c:v>
                </c:pt>
                <c:pt idx="5">
                  <c:v>285</c:v>
                </c:pt>
                <c:pt idx="6">
                  <c:v>294.8</c:v>
                </c:pt>
                <c:pt idx="7">
                  <c:v>303.3</c:v>
                </c:pt>
                <c:pt idx="8">
                  <c:v>323.7</c:v>
                </c:pt>
                <c:pt idx="9">
                  <c:v>320.36500000000001</c:v>
                </c:pt>
                <c:pt idx="10">
                  <c:v>324.99299999999999</c:v>
                </c:pt>
                <c:pt idx="11">
                  <c:v>331.536</c:v>
                </c:pt>
                <c:pt idx="12">
                  <c:v>330.06599999999997</c:v>
                </c:pt>
                <c:pt idx="13">
                  <c:v>309.452</c:v>
                </c:pt>
                <c:pt idx="14">
                  <c:v>291</c:v>
                </c:pt>
                <c:pt idx="15">
                  <c:v>260.46699999999998</c:v>
                </c:pt>
                <c:pt idx="16">
                  <c:v>243.71799999999999</c:v>
                </c:pt>
                <c:pt idx="17">
                  <c:v>224.15100000000001</c:v>
                </c:pt>
                <c:pt idx="18">
                  <c:v>213.31700000000001</c:v>
                </c:pt>
                <c:pt idx="19">
                  <c:v>204.053</c:v>
                </c:pt>
                <c:pt idx="20">
                  <c:v>211.447</c:v>
                </c:pt>
                <c:pt idx="21">
                  <c:v>211.447</c:v>
                </c:pt>
                <c:pt idx="22">
                  <c:v>228.483</c:v>
                </c:pt>
                <c:pt idx="23">
                  <c:v>229.77500000000001</c:v>
                </c:pt>
                <c:pt idx="24">
                  <c:v>246.7878</c:v>
                </c:pt>
                <c:pt idx="25">
                  <c:v>256.02499999999998</c:v>
                </c:pt>
                <c:pt idx="26">
                  <c:v>271.18299999999999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81-416E-B905-24E05CD65C23}"/>
            </c:ext>
          </c:extLst>
        </c:ser>
        <c:ser>
          <c:idx val="1"/>
          <c:order val="1"/>
          <c:tx>
            <c:strRef>
              <c:f>'vš_vše CZ'!$A$5</c:f>
              <c:strCache>
                <c:ptCount val="1"/>
                <c:pt idx="0">
                  <c:v>přihlášené osoby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'vš_vše CZ'!$B$3:$AB$3</c:f>
              <c:strCache>
                <c:ptCount val="27"/>
                <c:pt idx="0">
                  <c:v>1999/2000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'vš_vše CZ'!$B$5:$AB$5</c:f>
              <c:numCache>
                <c:formatCode>#\ ##0.0</c:formatCode>
                <c:ptCount val="27"/>
                <c:pt idx="0">
                  <c:v>105.4</c:v>
                </c:pt>
                <c:pt idx="1">
                  <c:v>103.5</c:v>
                </c:pt>
                <c:pt idx="2">
                  <c:v>105</c:v>
                </c:pt>
                <c:pt idx="3">
                  <c:v>108.8</c:v>
                </c:pt>
                <c:pt idx="4">
                  <c:v>117.5</c:v>
                </c:pt>
                <c:pt idx="5">
                  <c:v>130.4</c:v>
                </c:pt>
                <c:pt idx="6">
                  <c:v>130.9</c:v>
                </c:pt>
                <c:pt idx="7">
                  <c:v>137.80000000000001</c:v>
                </c:pt>
                <c:pt idx="8">
                  <c:v>146.80000000000001</c:v>
                </c:pt>
                <c:pt idx="9">
                  <c:v>147.27600000000001</c:v>
                </c:pt>
                <c:pt idx="10">
                  <c:v>146.62</c:v>
                </c:pt>
                <c:pt idx="11">
                  <c:v>150.58799999999999</c:v>
                </c:pt>
                <c:pt idx="12">
                  <c:v>149.613</c:v>
                </c:pt>
                <c:pt idx="13">
                  <c:v>141.054</c:v>
                </c:pt>
                <c:pt idx="14">
                  <c:v>134.25700000000001</c:v>
                </c:pt>
                <c:pt idx="15">
                  <c:v>121.761</c:v>
                </c:pt>
                <c:pt idx="16">
                  <c:v>113.093</c:v>
                </c:pt>
                <c:pt idx="17">
                  <c:v>102.791</c:v>
                </c:pt>
                <c:pt idx="18">
                  <c:v>97.998000000000005</c:v>
                </c:pt>
                <c:pt idx="19">
                  <c:v>95.137</c:v>
                </c:pt>
                <c:pt idx="20">
                  <c:v>98.126999999999995</c:v>
                </c:pt>
                <c:pt idx="21">
                  <c:v>98.867999999999995</c:v>
                </c:pt>
                <c:pt idx="22">
                  <c:v>102.355</c:v>
                </c:pt>
                <c:pt idx="23">
                  <c:v>100.738</c:v>
                </c:pt>
                <c:pt idx="24">
                  <c:v>104.596</c:v>
                </c:pt>
                <c:pt idx="25">
                  <c:v>107.14</c:v>
                </c:pt>
                <c:pt idx="26">
                  <c:v>111.357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81-416E-B905-24E05CD65C23}"/>
            </c:ext>
          </c:extLst>
        </c:ser>
        <c:ser>
          <c:idx val="4"/>
          <c:order val="2"/>
          <c:tx>
            <c:strRef>
              <c:f>'vš_vše CZ'!$A$7</c:f>
              <c:strCache>
                <c:ptCount val="1"/>
                <c:pt idx="0">
                  <c:v>počet přijatých osob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'vš_vše CZ'!$B$3:$AB$3</c:f>
              <c:strCache>
                <c:ptCount val="27"/>
                <c:pt idx="0">
                  <c:v>1999/2000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'vš_vše CZ'!$B$7:$AB$7</c:f>
              <c:numCache>
                <c:formatCode>#\ ##0.0</c:formatCode>
                <c:ptCount val="27"/>
                <c:pt idx="0">
                  <c:v>47.4</c:v>
                </c:pt>
                <c:pt idx="1">
                  <c:v>45.2</c:v>
                </c:pt>
                <c:pt idx="2">
                  <c:v>54.676000000000002</c:v>
                </c:pt>
                <c:pt idx="3">
                  <c:v>61.1</c:v>
                </c:pt>
                <c:pt idx="4">
                  <c:v>69.599999999999994</c:v>
                </c:pt>
                <c:pt idx="5">
                  <c:v>75.599999999999994</c:v>
                </c:pt>
                <c:pt idx="6">
                  <c:v>80</c:v>
                </c:pt>
                <c:pt idx="7">
                  <c:v>89.1</c:v>
                </c:pt>
                <c:pt idx="8">
                  <c:v>97.2</c:v>
                </c:pt>
                <c:pt idx="9">
                  <c:v>104.003</c:v>
                </c:pt>
                <c:pt idx="10">
                  <c:v>105.57</c:v>
                </c:pt>
                <c:pt idx="11">
                  <c:v>106.437</c:v>
                </c:pt>
                <c:pt idx="12">
                  <c:v>103.761</c:v>
                </c:pt>
                <c:pt idx="13">
                  <c:v>98.260999999999996</c:v>
                </c:pt>
                <c:pt idx="14">
                  <c:v>93.713999999999999</c:v>
                </c:pt>
                <c:pt idx="15">
                  <c:v>84.763999999999996</c:v>
                </c:pt>
                <c:pt idx="16">
                  <c:v>80.302000000000007</c:v>
                </c:pt>
                <c:pt idx="17">
                  <c:v>74.766999999999996</c:v>
                </c:pt>
                <c:pt idx="18">
                  <c:v>74.623000000000005</c:v>
                </c:pt>
                <c:pt idx="19">
                  <c:v>73.349999999999994</c:v>
                </c:pt>
                <c:pt idx="20">
                  <c:v>77.484999999999999</c:v>
                </c:pt>
                <c:pt idx="21">
                  <c:v>79.8</c:v>
                </c:pt>
                <c:pt idx="22">
                  <c:v>79.620999999999995</c:v>
                </c:pt>
                <c:pt idx="23">
                  <c:v>76.138000000000005</c:v>
                </c:pt>
                <c:pt idx="24">
                  <c:v>78.75</c:v>
                </c:pt>
                <c:pt idx="25">
                  <c:v>81.427999999999997</c:v>
                </c:pt>
                <c:pt idx="26">
                  <c:v>86.281000000000006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81-416E-B905-24E05CD65C23}"/>
            </c:ext>
          </c:extLst>
        </c:ser>
        <c:ser>
          <c:idx val="2"/>
          <c:order val="3"/>
          <c:tx>
            <c:strRef>
              <c:f>'vš_vše CZ'!$A$8</c:f>
              <c:strCache>
                <c:ptCount val="1"/>
                <c:pt idx="0">
                  <c:v>počet zapsaných osob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'vš_vše CZ'!$B$3:$AB$3</c:f>
              <c:strCache>
                <c:ptCount val="27"/>
                <c:pt idx="0">
                  <c:v>1999/2000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'vš_vše CZ'!$B$8:$AB$8</c:f>
              <c:numCache>
                <c:formatCode>#\ ##0.0</c:formatCode>
                <c:ptCount val="27"/>
                <c:pt idx="0">
                  <c:v>43.2</c:v>
                </c:pt>
                <c:pt idx="1">
                  <c:v>43.7</c:v>
                </c:pt>
                <c:pt idx="2">
                  <c:v>52.527000000000001</c:v>
                </c:pt>
                <c:pt idx="3">
                  <c:v>58.3</c:v>
                </c:pt>
                <c:pt idx="4">
                  <c:v>66.5</c:v>
                </c:pt>
                <c:pt idx="5">
                  <c:v>72.2</c:v>
                </c:pt>
                <c:pt idx="6">
                  <c:v>76.2</c:v>
                </c:pt>
                <c:pt idx="7">
                  <c:v>85.5</c:v>
                </c:pt>
                <c:pt idx="8">
                  <c:v>92.7</c:v>
                </c:pt>
                <c:pt idx="9">
                  <c:v>98.725999999999999</c:v>
                </c:pt>
                <c:pt idx="10">
                  <c:v>99.817999999999998</c:v>
                </c:pt>
                <c:pt idx="11">
                  <c:v>100.676</c:v>
                </c:pt>
                <c:pt idx="12">
                  <c:v>97.837000000000003</c:v>
                </c:pt>
                <c:pt idx="13">
                  <c:v>92.427999999999997</c:v>
                </c:pt>
                <c:pt idx="14">
                  <c:v>88.108999999999995</c:v>
                </c:pt>
                <c:pt idx="15">
                  <c:v>79.072999999999993</c:v>
                </c:pt>
                <c:pt idx="16">
                  <c:v>74.832999999999998</c:v>
                </c:pt>
                <c:pt idx="17">
                  <c:v>69.838999999999999</c:v>
                </c:pt>
                <c:pt idx="18">
                  <c:v>69.911000000000001</c:v>
                </c:pt>
                <c:pt idx="19">
                  <c:v>68.753</c:v>
                </c:pt>
                <c:pt idx="20">
                  <c:v>72.73</c:v>
                </c:pt>
                <c:pt idx="21">
                  <c:v>75.605000000000004</c:v>
                </c:pt>
                <c:pt idx="22">
                  <c:v>75.265000000000001</c:v>
                </c:pt>
                <c:pt idx="23">
                  <c:v>72.712999999999994</c:v>
                </c:pt>
                <c:pt idx="24">
                  <c:v>75.215000000000003</c:v>
                </c:pt>
                <c:pt idx="25">
                  <c:v>77.671000000000006</c:v>
                </c:pt>
                <c:pt idx="26">
                  <c:v>82.322999999999993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81-416E-B905-24E05CD65C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769664"/>
        <c:axId val="58943744"/>
      </c:areaChart>
      <c:lineChart>
        <c:grouping val="standard"/>
        <c:varyColors val="0"/>
        <c:ser>
          <c:idx val="3"/>
          <c:order val="4"/>
          <c:tx>
            <c:strRef>
              <c:f>'vš_vše CZ'!$A$22</c:f>
              <c:strCache>
                <c:ptCount val="1"/>
                <c:pt idx="0">
                  <c:v>maturanti v předch. roce (denní forma vzdělávání)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cat>
            <c:strRef>
              <c:f>'vš_vše CZ'!$B$3:$X$3</c:f>
              <c:strCache>
                <c:ptCount val="23"/>
                <c:pt idx="0">
                  <c:v>1999/2000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</c:strCache>
            </c:strRef>
          </c:cat>
          <c:val>
            <c:numRef>
              <c:f>'vš_vše CZ'!$B$22:$AB$22</c:f>
              <c:numCache>
                <c:formatCode>#\ ##0.0</c:formatCode>
                <c:ptCount val="27"/>
                <c:pt idx="0">
                  <c:v>91.04</c:v>
                </c:pt>
                <c:pt idx="1">
                  <c:v>35.066000000000003</c:v>
                </c:pt>
                <c:pt idx="2">
                  <c:v>73.120999999999995</c:v>
                </c:pt>
                <c:pt idx="3">
                  <c:v>74.09</c:v>
                </c:pt>
                <c:pt idx="4">
                  <c:v>79.337999999999994</c:v>
                </c:pt>
                <c:pt idx="5">
                  <c:v>81.674999999999997</c:v>
                </c:pt>
                <c:pt idx="6">
                  <c:v>84.688000000000002</c:v>
                </c:pt>
                <c:pt idx="7">
                  <c:v>85.379000000000005</c:v>
                </c:pt>
                <c:pt idx="8">
                  <c:v>85.778999999999996</c:v>
                </c:pt>
                <c:pt idx="9">
                  <c:v>84.317999999999998</c:v>
                </c:pt>
                <c:pt idx="10">
                  <c:v>83.906000000000006</c:v>
                </c:pt>
                <c:pt idx="11">
                  <c:v>81.063999999999993</c:v>
                </c:pt>
                <c:pt idx="12">
                  <c:v>74.569999999999993</c:v>
                </c:pt>
                <c:pt idx="13">
                  <c:v>72.606999999999999</c:v>
                </c:pt>
                <c:pt idx="14">
                  <c:v>70.027000000000001</c:v>
                </c:pt>
                <c:pt idx="15" formatCode="0.0">
                  <c:v>60.795999999999999</c:v>
                </c:pt>
                <c:pt idx="16" formatCode="0.0">
                  <c:v>56.121000000000002</c:v>
                </c:pt>
                <c:pt idx="17" formatCode="0.0">
                  <c:v>52.335999999999999</c:v>
                </c:pt>
                <c:pt idx="18" formatCode="0.0">
                  <c:v>52.454999999999998</c:v>
                </c:pt>
                <c:pt idx="19" formatCode="0.0">
                  <c:v>52.764000000000003</c:v>
                </c:pt>
                <c:pt idx="20" formatCode="0.0">
                  <c:v>54.533999999999999</c:v>
                </c:pt>
                <c:pt idx="21" formatCode="0.0">
                  <c:v>57.572000000000003</c:v>
                </c:pt>
                <c:pt idx="22" formatCode="0.0">
                  <c:v>62.003999999999998</c:v>
                </c:pt>
                <c:pt idx="23" formatCode="0.0">
                  <c:v>58.848999999999997</c:v>
                </c:pt>
                <c:pt idx="24" formatCode="0.0">
                  <c:v>62.265999999999998</c:v>
                </c:pt>
                <c:pt idx="25" formatCode="0.0">
                  <c:v>66.665000000000006</c:v>
                </c:pt>
                <c:pt idx="26" formatCode="0.0">
                  <c:v>70.236999999999995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B81-416E-B905-24E05CD65C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769664"/>
        <c:axId val="58943744"/>
      </c:lineChart>
      <c:catAx>
        <c:axId val="867696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58943744"/>
        <c:crosses val="autoZero"/>
        <c:auto val="0"/>
        <c:lblAlgn val="ctr"/>
        <c:lblOffset val="100"/>
        <c:noMultiLvlLbl val="0"/>
      </c:catAx>
      <c:valAx>
        <c:axId val="58943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8676966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915287952190056E-2"/>
          <c:y val="0.89877294568948107"/>
          <c:w val="0.75011617328928415"/>
          <c:h val="6.91233595800524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9"/>
              <c:pt idx="0">
                <c:v>Právní vědy</c:v>
              </c:pt>
              <c:pt idx="1">
                <c:v>Umělecké obory</c:v>
              </c:pt>
              <c:pt idx="2">
                <c:v>Humanitní a spol. vědy</c:v>
              </c:pt>
              <c:pt idx="3">
                <c:v>Ekonomické vědy</c:v>
              </c:pt>
              <c:pt idx="4">
                <c:v>Učitelství</c:v>
              </c:pt>
              <c:pt idx="5">
                <c:v>Lékařské vědy, farmacie</c:v>
              </c:pt>
              <c:pt idx="6">
                <c:v>Zemědělství, veter. lék.</c:v>
              </c:pt>
              <c:pt idx="7">
                <c:v>Přírodní vědy</c:v>
              </c:pt>
              <c:pt idx="8">
                <c:v>Technické obory</c:v>
              </c:pt>
            </c:strLit>
          </c:cat>
          <c:val>
            <c:numLit>
              <c:formatCode>General</c:formatCode>
              <c:ptCount val="9"/>
              <c:pt idx="0">
                <c:v>9.8474576271186436</c:v>
              </c:pt>
              <c:pt idx="1">
                <c:v>9.27116935483871</c:v>
              </c:pt>
              <c:pt idx="2">
                <c:v>7.0840121386360009</c:v>
              </c:pt>
              <c:pt idx="3">
                <c:v>5.3688411509657072</c:v>
              </c:pt>
              <c:pt idx="4">
                <c:v>4.7950761179828731</c:v>
              </c:pt>
              <c:pt idx="5">
                <c:v>3.7236383149986585</c:v>
              </c:pt>
              <c:pt idx="6">
                <c:v>3.3844566712517192</c:v>
              </c:pt>
              <c:pt idx="7">
                <c:v>3.2089723926380369</c:v>
              </c:pt>
              <c:pt idx="8">
                <c:v>2.0137697621586534</c:v>
              </c:pt>
            </c:numLit>
          </c:val>
          <c:extLst>
            <c:ext xmlns:c16="http://schemas.microsoft.com/office/drawing/2014/chart" uri="{C3380CC4-5D6E-409C-BE32-E72D297353CC}">
              <c16:uniqueId val="{00000000-6596-4109-8F97-B3E77DF1B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14688"/>
        <c:axId val="58946048"/>
      </c:barChart>
      <c:catAx>
        <c:axId val="59314688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58946048"/>
        <c:crosses val="autoZero"/>
        <c:auto val="0"/>
        <c:lblAlgn val="ctr"/>
        <c:lblOffset val="100"/>
        <c:tickLblSkip val="10"/>
        <c:tickMarkSkip val="1"/>
        <c:noMultiLvlLbl val="0"/>
      </c:catAx>
      <c:valAx>
        <c:axId val="58946048"/>
        <c:scaling>
          <c:orientation val="minMax"/>
          <c:max val="12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59314688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cs-CZ"/>
              <a:t>Uchazeči o prezenční studium na VŠ podle věku</a:t>
            </a:r>
          </a:p>
        </c:rich>
      </c:tx>
      <c:layout>
        <c:manualLayout>
          <c:xMode val="edge"/>
          <c:yMode val="edge"/>
          <c:x val="0.3293591654247392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846497764531E-2"/>
          <c:y val="0.12655102181759584"/>
          <c:w val="0.87928464977645304"/>
          <c:h val="0.5980156129027568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vš_věk!$A$4</c:f>
              <c:strCache>
                <c:ptCount val="1"/>
                <c:pt idx="0">
                  <c:v>18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vš_věk!$B$3:$AB$3</c:f>
              <c:strCache>
                <c:ptCount val="27"/>
                <c:pt idx="0">
                  <c:v>1999/00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vš_věk!$B$4:$AB$4</c:f>
              <c:numCache>
                <c:formatCode>0.0%</c:formatCode>
                <c:ptCount val="27"/>
                <c:pt idx="0">
                  <c:v>0.43103322113273818</c:v>
                </c:pt>
                <c:pt idx="1">
                  <c:v>0.21968901298767834</c:v>
                </c:pt>
                <c:pt idx="2">
                  <c:v>9.2700000000000005E-2</c:v>
                </c:pt>
                <c:pt idx="3">
                  <c:v>1.8518518518518519E-3</c:v>
                </c:pt>
                <c:pt idx="4">
                  <c:v>3.35651449005112E-3</c:v>
                </c:pt>
                <c:pt idx="5">
                  <c:v>3.8465602874352745E-3</c:v>
                </c:pt>
                <c:pt idx="6">
                  <c:v>3.3312468835867133E-3</c:v>
                </c:pt>
                <c:pt idx="7">
                  <c:v>5.0254893647822809E-3</c:v>
                </c:pt>
                <c:pt idx="8">
                  <c:v>5.5919861608400047E-3</c:v>
                </c:pt>
                <c:pt idx="9">
                  <c:v>5.4916662444906023E-3</c:v>
                </c:pt>
                <c:pt idx="10">
                  <c:v>5.6390416612795754E-3</c:v>
                </c:pt>
                <c:pt idx="11">
                  <c:v>5.137099908062972E-3</c:v>
                </c:pt>
                <c:pt idx="12">
                  <c:v>4.509268517806325E-3</c:v>
                </c:pt>
                <c:pt idx="13">
                  <c:v>4.7778874629812486E-3</c:v>
                </c:pt>
                <c:pt idx="14">
                  <c:v>3.4830000000000139E-3</c:v>
                </c:pt>
                <c:pt idx="15">
                  <c:v>4.6310000000000517E-3</c:v>
                </c:pt>
                <c:pt idx="16">
                  <c:v>5.0000000000000001E-3</c:v>
                </c:pt>
                <c:pt idx="17">
                  <c:v>5.5343713589662115E-3</c:v>
                </c:pt>
                <c:pt idx="18">
                  <c:v>6.4000000000000003E-3</c:v>
                </c:pt>
                <c:pt idx="19">
                  <c:v>6.1000000000000004E-3</c:v>
                </c:pt>
                <c:pt idx="20">
                  <c:v>6.6E-3</c:v>
                </c:pt>
                <c:pt idx="21">
                  <c:v>7.7999999999999996E-3</c:v>
                </c:pt>
                <c:pt idx="22">
                  <c:v>8.0000000000000002E-3</c:v>
                </c:pt>
                <c:pt idx="23">
                  <c:v>8.6E-3</c:v>
                </c:pt>
                <c:pt idx="24">
                  <c:v>8.9999999999999993E-3</c:v>
                </c:pt>
                <c:pt idx="25">
                  <c:v>9.4999999999999998E-3</c:v>
                </c:pt>
                <c:pt idx="26">
                  <c:v>9.7000000000000003E-3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F3-40FF-A124-73C6E2406B5C}"/>
            </c:ext>
          </c:extLst>
        </c:ser>
        <c:ser>
          <c:idx val="1"/>
          <c:order val="1"/>
          <c:tx>
            <c:strRef>
              <c:f>vš_věk!$A$5</c:f>
              <c:strCache>
                <c:ptCount val="1"/>
                <c:pt idx="0">
                  <c:v>19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Ref>
              <c:f>vš_věk!$B$3:$AB$3</c:f>
              <c:strCache>
                <c:ptCount val="27"/>
                <c:pt idx="0">
                  <c:v>1999/00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vš_věk!$B$5:$AB$5</c:f>
              <c:numCache>
                <c:formatCode>0.0%</c:formatCode>
                <c:ptCount val="27"/>
                <c:pt idx="0">
                  <c:v>0.27694643641153227</c:v>
                </c:pt>
                <c:pt idx="1">
                  <c:v>0.26075261930988547</c:v>
                </c:pt>
                <c:pt idx="2">
                  <c:v>0.4536</c:v>
                </c:pt>
                <c:pt idx="3">
                  <c:v>0.44995863344364417</c:v>
                </c:pt>
                <c:pt idx="4">
                  <c:v>0.45650790865015495</c:v>
                </c:pt>
                <c:pt idx="5">
                  <c:v>0.46011835570115189</c:v>
                </c:pt>
                <c:pt idx="6">
                  <c:v>0.47048027244082796</c:v>
                </c:pt>
                <c:pt idx="7">
                  <c:v>0.47274757773480724</c:v>
                </c:pt>
                <c:pt idx="8">
                  <c:v>0.47214064448646254</c:v>
                </c:pt>
                <c:pt idx="9">
                  <c:v>0.47289123055879223</c:v>
                </c:pt>
                <c:pt idx="10">
                  <c:v>0.46197376403544538</c:v>
                </c:pt>
                <c:pt idx="11">
                  <c:v>0.46549518041456966</c:v>
                </c:pt>
                <c:pt idx="12">
                  <c:v>0.43532228290131547</c:v>
                </c:pt>
                <c:pt idx="13">
                  <c:v>0.43363277393879607</c:v>
                </c:pt>
                <c:pt idx="14">
                  <c:v>0.41340900000000003</c:v>
                </c:pt>
                <c:pt idx="15">
                  <c:v>0.39259300000000003</c:v>
                </c:pt>
                <c:pt idx="16">
                  <c:v>0.40089999999999998</c:v>
                </c:pt>
                <c:pt idx="17">
                  <c:v>0.42549782861984958</c:v>
                </c:pt>
                <c:pt idx="18">
                  <c:v>0.44040000000000001</c:v>
                </c:pt>
                <c:pt idx="19">
                  <c:v>0.45200000000000001</c:v>
                </c:pt>
                <c:pt idx="20">
                  <c:v>0.45810000000000001</c:v>
                </c:pt>
                <c:pt idx="21">
                  <c:v>0.46810000000000002</c:v>
                </c:pt>
                <c:pt idx="22">
                  <c:v>0.47489999999999999</c:v>
                </c:pt>
                <c:pt idx="23">
                  <c:v>0.47139999999999999</c:v>
                </c:pt>
                <c:pt idx="24">
                  <c:v>0.4743</c:v>
                </c:pt>
                <c:pt idx="25">
                  <c:v>0.48570000000000002</c:v>
                </c:pt>
                <c:pt idx="26">
                  <c:v>0.49709999999999999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993366"/>
                  </a:solidFill>
                  <a:ln w="12700">
                    <a:solidFill>
                      <a:srgbClr val="000000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84F3-40FF-A124-73C6E2406B5C}"/>
            </c:ext>
          </c:extLst>
        </c:ser>
        <c:ser>
          <c:idx val="2"/>
          <c:order val="2"/>
          <c:tx>
            <c:strRef>
              <c:f>vš_věk!$A$6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vš_věk!$B$3:$AB$3</c:f>
              <c:strCache>
                <c:ptCount val="27"/>
                <c:pt idx="0">
                  <c:v>1999/00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vš_věk!$B$6:$AB$6</c:f>
              <c:numCache>
                <c:formatCode>0.0%</c:formatCode>
                <c:ptCount val="27"/>
                <c:pt idx="0">
                  <c:v>0.12026196399824382</c:v>
                </c:pt>
                <c:pt idx="1">
                  <c:v>0.17201629223557138</c:v>
                </c:pt>
                <c:pt idx="2">
                  <c:v>0.15870000000000001</c:v>
                </c:pt>
                <c:pt idx="3">
                  <c:v>0.23582587113101031</c:v>
                </c:pt>
                <c:pt idx="4">
                  <c:v>0.21314963911984702</c:v>
                </c:pt>
                <c:pt idx="5">
                  <c:v>0.22379794991017646</c:v>
                </c:pt>
                <c:pt idx="6">
                  <c:v>0.22869964671808529</c:v>
                </c:pt>
                <c:pt idx="7">
                  <c:v>0.22362393621971521</c:v>
                </c:pt>
                <c:pt idx="8">
                  <c:v>0.22283461399203441</c:v>
                </c:pt>
                <c:pt idx="9">
                  <c:v>0.22361821774152693</c:v>
                </c:pt>
                <c:pt idx="10">
                  <c:v>0.23297098926891366</c:v>
                </c:pt>
                <c:pt idx="11">
                  <c:v>0.22762470736538809</c:v>
                </c:pt>
                <c:pt idx="12">
                  <c:v>0.25153834320436902</c:v>
                </c:pt>
                <c:pt idx="13">
                  <c:v>0.24906219151036549</c:v>
                </c:pt>
                <c:pt idx="14">
                  <c:v>0.258913</c:v>
                </c:pt>
                <c:pt idx="15">
                  <c:v>0.25536599999999998</c:v>
                </c:pt>
                <c:pt idx="16">
                  <c:v>0.2422</c:v>
                </c:pt>
                <c:pt idx="17">
                  <c:v>0.24173816333015571</c:v>
                </c:pt>
                <c:pt idx="18">
                  <c:v>0.2495</c:v>
                </c:pt>
                <c:pt idx="19">
                  <c:v>0.251</c:v>
                </c:pt>
                <c:pt idx="20">
                  <c:v>0.24349999999999999</c:v>
                </c:pt>
                <c:pt idx="21">
                  <c:v>0.2477</c:v>
                </c:pt>
                <c:pt idx="22">
                  <c:v>0.24679999999999999</c:v>
                </c:pt>
                <c:pt idx="23">
                  <c:v>0.24379999999999999</c:v>
                </c:pt>
                <c:pt idx="24">
                  <c:v>0.2452</c:v>
                </c:pt>
                <c:pt idx="25">
                  <c:v>0.24299999999999999</c:v>
                </c:pt>
                <c:pt idx="26">
                  <c:v>0.2417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F3-40FF-A124-73C6E2406B5C}"/>
            </c:ext>
          </c:extLst>
        </c:ser>
        <c:ser>
          <c:idx val="3"/>
          <c:order val="3"/>
          <c:tx>
            <c:strRef>
              <c:f>vš_věk!$A$7</c:f>
              <c:strCache>
                <c:ptCount val="1"/>
                <c:pt idx="0">
                  <c:v>21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vš_věk!$B$3:$AB$3</c:f>
              <c:strCache>
                <c:ptCount val="27"/>
                <c:pt idx="0">
                  <c:v>1999/00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vš_věk!$B$7:$AB$7</c:f>
              <c:numCache>
                <c:formatCode>0.0%</c:formatCode>
                <c:ptCount val="27"/>
                <c:pt idx="0">
                  <c:v>6.192375237816479E-2</c:v>
                </c:pt>
                <c:pt idx="1">
                  <c:v>0.1189896764607936</c:v>
                </c:pt>
                <c:pt idx="2">
                  <c:v>9.1200000000000003E-2</c:v>
                </c:pt>
                <c:pt idx="3">
                  <c:v>9.8853903056258519E-2</c:v>
                </c:pt>
                <c:pt idx="4">
                  <c:v>0.10395322817717099</c:v>
                </c:pt>
                <c:pt idx="5">
                  <c:v>0.10075029060551621</c:v>
                </c:pt>
                <c:pt idx="6">
                  <c:v>9.8473355329464565E-2</c:v>
                </c:pt>
                <c:pt idx="7">
                  <c:v>9.623915538689029E-2</c:v>
                </c:pt>
                <c:pt idx="8">
                  <c:v>9.7024982902200574E-2</c:v>
                </c:pt>
                <c:pt idx="9">
                  <c:v>9.7613860884543296E-2</c:v>
                </c:pt>
                <c:pt idx="10">
                  <c:v>9.7226228008234786E-2</c:v>
                </c:pt>
                <c:pt idx="11">
                  <c:v>0.10252400314671065</c:v>
                </c:pt>
                <c:pt idx="12">
                  <c:v>0.10566494885008851</c:v>
                </c:pt>
                <c:pt idx="13">
                  <c:v>0.11353405725567633</c:v>
                </c:pt>
                <c:pt idx="14">
                  <c:v>0.11442099999999999</c:v>
                </c:pt>
                <c:pt idx="15">
                  <c:v>0.121367</c:v>
                </c:pt>
                <c:pt idx="16">
                  <c:v>0.1197</c:v>
                </c:pt>
                <c:pt idx="17">
                  <c:v>0.11107139074250609</c:v>
                </c:pt>
                <c:pt idx="18">
                  <c:v>0.10299999999999999</c:v>
                </c:pt>
                <c:pt idx="19">
                  <c:v>0.104</c:v>
                </c:pt>
                <c:pt idx="20">
                  <c:v>0.10580000000000001</c:v>
                </c:pt>
                <c:pt idx="21">
                  <c:v>0.1012</c:v>
                </c:pt>
                <c:pt idx="22">
                  <c:v>9.9599999999999994E-2</c:v>
                </c:pt>
                <c:pt idx="23">
                  <c:v>0.10100000000000001</c:v>
                </c:pt>
                <c:pt idx="24">
                  <c:v>9.7299999999999998E-2</c:v>
                </c:pt>
                <c:pt idx="25">
                  <c:v>9.1399999999999995E-2</c:v>
                </c:pt>
                <c:pt idx="26">
                  <c:v>8.9899999999999994E-2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F3-40FF-A124-73C6E2406B5C}"/>
            </c:ext>
          </c:extLst>
        </c:ser>
        <c:ser>
          <c:idx val="4"/>
          <c:order val="4"/>
          <c:tx>
            <c:strRef>
              <c:f>vš_věk!$A$8</c:f>
              <c:strCache>
                <c:ptCount val="1"/>
                <c:pt idx="0">
                  <c:v>22</c:v>
                </c:pt>
              </c:strCache>
            </c:strRef>
          </c:tx>
          <c:spPr>
            <a:pattFill prst="ltHorz">
              <a:fgClr>
                <a:srgbClr xmlns:mc="http://schemas.openxmlformats.org/markup-compatibility/2006" xmlns:a14="http://schemas.microsoft.com/office/drawing/2010/main" val="FFFFFF" mc:Ignorable="a14" a14:legacySpreadsheetColorIndex="9"/>
              </a:fgClr>
              <a:bgClr>
                <a:srgbClr xmlns:mc="http://schemas.openxmlformats.org/markup-compatibility/2006" xmlns:a14="http://schemas.microsoft.com/office/drawing/2010/main" val="003366" mc:Ignorable="a14" a14:legacySpreadsheetColorIndex="56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vš_věk!$B$3:$AB$3</c:f>
              <c:strCache>
                <c:ptCount val="27"/>
                <c:pt idx="0">
                  <c:v>1999/00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vš_věk!$B$8:$AB$8</c:f>
              <c:numCache>
                <c:formatCode>0.0%</c:formatCode>
                <c:ptCount val="27"/>
                <c:pt idx="0">
                  <c:v>3.7684765110493193E-2</c:v>
                </c:pt>
                <c:pt idx="1">
                  <c:v>7.4275687168583654E-2</c:v>
                </c:pt>
                <c:pt idx="2">
                  <c:v>6.54E-2</c:v>
                </c:pt>
                <c:pt idx="3">
                  <c:v>6.481166050223866E-2</c:v>
                </c:pt>
                <c:pt idx="4">
                  <c:v>6.0757299870565801E-2</c:v>
                </c:pt>
                <c:pt idx="5">
                  <c:v>6.8931628447638171E-2</c:v>
                </c:pt>
                <c:pt idx="6">
                  <c:v>6.5829257683616416E-2</c:v>
                </c:pt>
                <c:pt idx="7">
                  <c:v>6.7358102309036577E-2</c:v>
                </c:pt>
                <c:pt idx="8">
                  <c:v>6.7224524278875167E-2</c:v>
                </c:pt>
                <c:pt idx="9">
                  <c:v>6.9294290490906324E-2</c:v>
                </c:pt>
                <c:pt idx="10">
                  <c:v>6.9548180489114764E-2</c:v>
                </c:pt>
                <c:pt idx="11">
                  <c:v>7.1246457581013584E-2</c:v>
                </c:pt>
                <c:pt idx="12">
                  <c:v>7.6792169833089799E-2</c:v>
                </c:pt>
                <c:pt idx="13">
                  <c:v>7.5320829220138275E-2</c:v>
                </c:pt>
                <c:pt idx="14">
                  <c:v>8.0181000000000002E-2</c:v>
                </c:pt>
                <c:pt idx="15">
                  <c:v>8.1558000000000005E-2</c:v>
                </c:pt>
                <c:pt idx="16">
                  <c:v>8.5099999999999995E-2</c:v>
                </c:pt>
                <c:pt idx="17">
                  <c:v>7.745471877979028E-2</c:v>
                </c:pt>
                <c:pt idx="18">
                  <c:v>6.7500000000000004E-2</c:v>
                </c:pt>
                <c:pt idx="19">
                  <c:v>6.2100000000000002E-2</c:v>
                </c:pt>
                <c:pt idx="20">
                  <c:v>6.5600000000000006E-2</c:v>
                </c:pt>
                <c:pt idx="21">
                  <c:v>6.0600000000000001E-2</c:v>
                </c:pt>
                <c:pt idx="22">
                  <c:v>5.8500000000000003E-2</c:v>
                </c:pt>
                <c:pt idx="23">
                  <c:v>6.4000000000000001E-2</c:v>
                </c:pt>
                <c:pt idx="24">
                  <c:v>6.2799999999999995E-2</c:v>
                </c:pt>
                <c:pt idx="25">
                  <c:v>6.0499999999999998E-2</c:v>
                </c:pt>
                <c:pt idx="26">
                  <c:v>5.6800000000000003E-2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F3-40FF-A124-73C6E2406B5C}"/>
            </c:ext>
          </c:extLst>
        </c:ser>
        <c:ser>
          <c:idx val="5"/>
          <c:order val="5"/>
          <c:tx>
            <c:strRef>
              <c:f>vš_věk!$A$9</c:f>
              <c:strCache>
                <c:ptCount val="1"/>
                <c:pt idx="0">
                  <c:v>23</c:v>
                </c:pt>
              </c:strCache>
            </c:strRef>
          </c:tx>
          <c:spPr>
            <a:pattFill prst="ltVert">
              <a:fgClr>
                <a:srgbClr xmlns:mc="http://schemas.openxmlformats.org/markup-compatibility/2006" xmlns:a14="http://schemas.microsoft.com/office/drawing/2010/main" val="FFFFFF" mc:Ignorable="a14" a14:legacySpreadsheetColorIndex="9"/>
              </a:fgClr>
              <a:bgClr>
                <a:srgbClr xmlns:mc="http://schemas.openxmlformats.org/markup-compatibility/2006" xmlns:a14="http://schemas.microsoft.com/office/drawing/2010/main" val="008080" mc:Ignorable="a14" a14:legacySpreadsheetColorIndex="21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vš_věk!$B$3:$AB$3</c:f>
              <c:strCache>
                <c:ptCount val="27"/>
                <c:pt idx="0">
                  <c:v>1999/00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vš_věk!$B$9:$AB$9</c:f>
              <c:numCache>
                <c:formatCode>0.0%</c:formatCode>
                <c:ptCount val="27"/>
                <c:pt idx="0">
                  <c:v>2.5025611005414897E-2</c:v>
                </c:pt>
                <c:pt idx="1">
                  <c:v>4.8838281630248226E-2</c:v>
                </c:pt>
                <c:pt idx="2">
                  <c:v>4.41E-2</c:v>
                </c:pt>
                <c:pt idx="3">
                  <c:v>4.8800369865680357E-2</c:v>
                </c:pt>
                <c:pt idx="4">
                  <c:v>4.7715156966412903E-2</c:v>
                </c:pt>
                <c:pt idx="5">
                  <c:v>4.1530170136320405E-2</c:v>
                </c:pt>
                <c:pt idx="6">
                  <c:v>4.3391082018693169E-2</c:v>
                </c:pt>
                <c:pt idx="7">
                  <c:v>4.2571892417301749E-2</c:v>
                </c:pt>
                <c:pt idx="8">
                  <c:v>4.2563463008408096E-2</c:v>
                </c:pt>
                <c:pt idx="9">
                  <c:v>4.2879578499417398E-2</c:v>
                </c:pt>
                <c:pt idx="10">
                  <c:v>4.4764244298799591E-2</c:v>
                </c:pt>
                <c:pt idx="11">
                  <c:v>4.4916451041163145E-2</c:v>
                </c:pt>
                <c:pt idx="12">
                  <c:v>4.5631105299592356E-2</c:v>
                </c:pt>
                <c:pt idx="13">
                  <c:v>4.6495557749259675E-2</c:v>
                </c:pt>
                <c:pt idx="14">
                  <c:v>4.7744000000000002E-2</c:v>
                </c:pt>
                <c:pt idx="15">
                  <c:v>5.5384000000000003E-2</c:v>
                </c:pt>
                <c:pt idx="16">
                  <c:v>5.2999999999999999E-2</c:v>
                </c:pt>
                <c:pt idx="17">
                  <c:v>5.0325707022561172E-2</c:v>
                </c:pt>
                <c:pt idx="18">
                  <c:v>4.48E-2</c:v>
                </c:pt>
                <c:pt idx="19">
                  <c:v>3.9800000000000002E-2</c:v>
                </c:pt>
                <c:pt idx="20">
                  <c:v>3.7900000000000003E-2</c:v>
                </c:pt>
                <c:pt idx="21">
                  <c:v>3.8199999999999998E-2</c:v>
                </c:pt>
                <c:pt idx="22">
                  <c:v>3.6299999999999999E-2</c:v>
                </c:pt>
                <c:pt idx="23">
                  <c:v>3.78E-2</c:v>
                </c:pt>
                <c:pt idx="24">
                  <c:v>4.0300000000000002E-2</c:v>
                </c:pt>
                <c:pt idx="25">
                  <c:v>3.9300000000000002E-2</c:v>
                </c:pt>
                <c:pt idx="26">
                  <c:v>3.5999999999999997E-2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F3-40FF-A124-73C6E2406B5C}"/>
            </c:ext>
          </c:extLst>
        </c:ser>
        <c:ser>
          <c:idx val="6"/>
          <c:order val="6"/>
          <c:tx>
            <c:strRef>
              <c:f>vš_věk!$A$10</c:f>
              <c:strCache>
                <c:ptCount val="1"/>
                <c:pt idx="0">
                  <c:v>24</c:v>
                </c:pt>
              </c:strCache>
            </c:strRef>
          </c:tx>
          <c:spPr>
            <a:pattFill prst="dkDnDiag">
              <a:fgClr>
                <a:srgbClr xmlns:mc="http://schemas.openxmlformats.org/markup-compatibility/2006" xmlns:a14="http://schemas.microsoft.com/office/drawing/2010/main" val="FFFFFF" mc:Ignorable="a14" a14:legacySpreadsheetColorIndex="9"/>
              </a:fgClr>
              <a:bgClr>
                <a:srgbClr xmlns:mc="http://schemas.openxmlformats.org/markup-compatibility/2006" xmlns:a14="http://schemas.microsoft.com/office/drawing/2010/main" val="33CCCC" mc:Ignorable="a14" a14:legacySpreadsheetColorIndex="4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vš_věk!$B$3:$AB$3</c:f>
              <c:strCache>
                <c:ptCount val="27"/>
                <c:pt idx="0">
                  <c:v>1999/00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vš_věk!$B$10:$AB$10</c:f>
              <c:numCache>
                <c:formatCode>0.0%</c:formatCode>
                <c:ptCount val="27"/>
                <c:pt idx="0">
                  <c:v>1.4945851017122787E-2</c:v>
                </c:pt>
                <c:pt idx="1">
                  <c:v>3.1764736019673646E-2</c:v>
                </c:pt>
                <c:pt idx="2">
                  <c:v>2.8899999999999999E-2</c:v>
                </c:pt>
                <c:pt idx="3">
                  <c:v>3.2241580689118164E-2</c:v>
                </c:pt>
                <c:pt idx="4">
                  <c:v>3.7470109470635997E-2</c:v>
                </c:pt>
                <c:pt idx="5">
                  <c:v>2.8976011835570116E-2</c:v>
                </c:pt>
                <c:pt idx="6">
                  <c:v>2.406136284068365E-2</c:v>
                </c:pt>
                <c:pt idx="7">
                  <c:v>2.7567807914628727E-2</c:v>
                </c:pt>
                <c:pt idx="8">
                  <c:v>2.5536066299231604E-2</c:v>
                </c:pt>
                <c:pt idx="9">
                  <c:v>2.7397537869192967E-2</c:v>
                </c:pt>
                <c:pt idx="10">
                  <c:v>2.8036081910312385E-2</c:v>
                </c:pt>
                <c:pt idx="11">
                  <c:v>2.8055010568019182E-2</c:v>
                </c:pt>
                <c:pt idx="12">
                  <c:v>2.850742250596109E-2</c:v>
                </c:pt>
                <c:pt idx="13">
                  <c:v>2.8983218163869725E-2</c:v>
                </c:pt>
                <c:pt idx="14">
                  <c:v>3.0522000000000001E-2</c:v>
                </c:pt>
                <c:pt idx="15">
                  <c:v>3.2780999999999998E-2</c:v>
                </c:pt>
                <c:pt idx="16">
                  <c:v>3.5499999999999997E-2</c:v>
                </c:pt>
                <c:pt idx="17">
                  <c:v>3.2451541150301876E-2</c:v>
                </c:pt>
                <c:pt idx="18">
                  <c:v>3.2800000000000003E-2</c:v>
                </c:pt>
                <c:pt idx="19">
                  <c:v>3.1099999999999999E-2</c:v>
                </c:pt>
                <c:pt idx="20">
                  <c:v>3.0700000000000002E-2</c:v>
                </c:pt>
                <c:pt idx="21">
                  <c:v>2.9000000000000001E-2</c:v>
                </c:pt>
                <c:pt idx="22">
                  <c:v>2.8400000000000002E-2</c:v>
                </c:pt>
                <c:pt idx="23">
                  <c:v>2.9600000000000001E-2</c:v>
                </c:pt>
                <c:pt idx="24">
                  <c:v>2.9399999999999999E-2</c:v>
                </c:pt>
                <c:pt idx="25">
                  <c:v>2.9399999999999999E-2</c:v>
                </c:pt>
                <c:pt idx="26">
                  <c:v>2.93E-2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4F3-40FF-A124-73C6E2406B5C}"/>
            </c:ext>
          </c:extLst>
        </c:ser>
        <c:ser>
          <c:idx val="7"/>
          <c:order val="7"/>
          <c:tx>
            <c:strRef>
              <c:f>vš_věk!$A$11</c:f>
              <c:strCache>
                <c:ptCount val="1"/>
                <c:pt idx="0">
                  <c:v>25</c:v>
                </c:pt>
              </c:strCache>
            </c:strRef>
          </c:tx>
          <c:spPr>
            <a:pattFill prst="ltUpDiag">
              <a:fgClr>
                <a:srgbClr xmlns:mc="http://schemas.openxmlformats.org/markup-compatibility/2006" xmlns:a14="http://schemas.microsoft.com/office/drawing/2010/main" val="FFFFFF" mc:Ignorable="a14" a14:legacySpreadsheetColorIndex="9"/>
              </a:fgClr>
              <a:bgClr>
                <a:srgbClr xmlns:mc="http://schemas.openxmlformats.org/markup-compatibility/2006" xmlns:a14="http://schemas.microsoft.com/office/drawing/2010/main" val="33CCCC" mc:Ignorable="a14" a14:legacySpreadsheetColorIndex="4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vš_věk!$B$3:$AB$3</c:f>
              <c:strCache>
                <c:ptCount val="27"/>
                <c:pt idx="0">
                  <c:v>1999/00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vš_věk!$B$11:$AB$11</c:f>
              <c:numCache>
                <c:formatCode>0.0%</c:formatCode>
                <c:ptCount val="27"/>
                <c:pt idx="0">
                  <c:v>9.3297234011415191E-3</c:v>
                </c:pt>
                <c:pt idx="1">
                  <c:v>1.9648026231523938E-2</c:v>
                </c:pt>
                <c:pt idx="2">
                  <c:v>1.7100000000000001E-2</c:v>
                </c:pt>
                <c:pt idx="3">
                  <c:v>1.9685614171695544E-2</c:v>
                </c:pt>
                <c:pt idx="4">
                  <c:v>2.1652809161310099E-2</c:v>
                </c:pt>
                <c:pt idx="5">
                  <c:v>1.84296734650745E-2</c:v>
                </c:pt>
                <c:pt idx="6">
                  <c:v>1.4757211512958975E-2</c:v>
                </c:pt>
                <c:pt idx="7">
                  <c:v>1.3535731643004124E-2</c:v>
                </c:pt>
                <c:pt idx="8">
                  <c:v>1.4915315605262098E-2</c:v>
                </c:pt>
                <c:pt idx="9">
                  <c:v>1.380009119002989E-2</c:v>
                </c:pt>
                <c:pt idx="10">
                  <c:v>1.5037444430078867E-2</c:v>
                </c:pt>
                <c:pt idx="11">
                  <c:v>1.5108002312642763E-2</c:v>
                </c:pt>
                <c:pt idx="12">
                  <c:v>1.5143065918006314E-2</c:v>
                </c:pt>
                <c:pt idx="13">
                  <c:v>1.542941757156961E-2</c:v>
                </c:pt>
                <c:pt idx="14">
                  <c:v>1.6556000000000001E-2</c:v>
                </c:pt>
                <c:pt idx="15">
                  <c:v>1.7742000000000001E-2</c:v>
                </c:pt>
                <c:pt idx="16">
                  <c:v>1.84E-2</c:v>
                </c:pt>
                <c:pt idx="17">
                  <c:v>1.9145217667619955E-2</c:v>
                </c:pt>
                <c:pt idx="18">
                  <c:v>1.8100000000000002E-2</c:v>
                </c:pt>
                <c:pt idx="19">
                  <c:v>1.89E-2</c:v>
                </c:pt>
                <c:pt idx="20">
                  <c:v>1.9599999999999999E-2</c:v>
                </c:pt>
                <c:pt idx="21">
                  <c:v>1.77E-2</c:v>
                </c:pt>
                <c:pt idx="22">
                  <c:v>1.6400000000000001E-2</c:v>
                </c:pt>
                <c:pt idx="23">
                  <c:v>1.8499999999999999E-2</c:v>
                </c:pt>
                <c:pt idx="24">
                  <c:v>1.7600000000000001E-2</c:v>
                </c:pt>
                <c:pt idx="25">
                  <c:v>1.6799999999999999E-2</c:v>
                </c:pt>
                <c:pt idx="26">
                  <c:v>1.78E-2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4F3-40FF-A124-73C6E2406B5C}"/>
            </c:ext>
          </c:extLst>
        </c:ser>
        <c:ser>
          <c:idx val="8"/>
          <c:order val="8"/>
          <c:tx>
            <c:strRef>
              <c:f>vš_věk!$A$12</c:f>
              <c:strCache>
                <c:ptCount val="1"/>
                <c:pt idx="0">
                  <c:v>26</c:v>
                </c:pt>
              </c:strCache>
            </c:strRef>
          </c:tx>
          <c:invertIfNegative val="0"/>
          <c:cat>
            <c:strRef>
              <c:f>vš_věk!$B$3:$AB$3</c:f>
              <c:strCache>
                <c:ptCount val="27"/>
                <c:pt idx="0">
                  <c:v>1999/00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vš_věk!$B$12:$AB$12</c:f>
              <c:numCache>
                <c:formatCode>0.0%</c:formatCode>
                <c:ptCount val="27"/>
                <c:pt idx="0">
                  <c:v>5.0307332064978777E-3</c:v>
                </c:pt>
                <c:pt idx="1">
                  <c:v>1.2910828188641546E-2</c:v>
                </c:pt>
                <c:pt idx="2">
                  <c:v>1.316E-2</c:v>
                </c:pt>
                <c:pt idx="3">
                  <c:v>1.208146778275258E-2</c:v>
                </c:pt>
                <c:pt idx="4">
                  <c:v>1.2910514884935198E-2</c:v>
                </c:pt>
                <c:pt idx="5">
                  <c:v>1.0504068477227095E-2</c:v>
                </c:pt>
                <c:pt idx="6">
                  <c:v>9.1662334631175801E-3</c:v>
                </c:pt>
                <c:pt idx="7">
                  <c:v>7.9311735448312944E-3</c:v>
                </c:pt>
                <c:pt idx="8">
                  <c:v>7.6437220903568413E-3</c:v>
                </c:pt>
                <c:pt idx="9">
                  <c:v>7.6194336085921273E-3</c:v>
                </c:pt>
                <c:pt idx="10">
                  <c:v>7.0015614277615891E-3</c:v>
                </c:pt>
                <c:pt idx="11">
                  <c:v>6.7578454510127291E-3</c:v>
                </c:pt>
                <c:pt idx="12">
                  <c:v>6.8360126144142788E-3</c:v>
                </c:pt>
                <c:pt idx="13">
                  <c:v>6.2586377097729583E-3</c:v>
                </c:pt>
                <c:pt idx="14">
                  <c:v>6.4099999999999999E-3</c:v>
                </c:pt>
                <c:pt idx="15">
                  <c:v>6.8690000000000001E-3</c:v>
                </c:pt>
                <c:pt idx="16">
                  <c:v>7.1000000000000004E-3</c:v>
                </c:pt>
                <c:pt idx="17">
                  <c:v>6.580341065565088E-3</c:v>
                </c:pt>
                <c:pt idx="18">
                  <c:v>6.6E-3</c:v>
                </c:pt>
                <c:pt idx="19">
                  <c:v>5.7999999999999996E-3</c:v>
                </c:pt>
                <c:pt idx="20">
                  <c:v>5.5999999999999999E-3</c:v>
                </c:pt>
                <c:pt idx="21">
                  <c:v>4.5999999999999999E-3</c:v>
                </c:pt>
                <c:pt idx="22">
                  <c:v>4.1000000000000003E-3</c:v>
                </c:pt>
                <c:pt idx="23">
                  <c:v>4.1000000000000003E-3</c:v>
                </c:pt>
                <c:pt idx="24">
                  <c:v>4.0000000000000001E-3</c:v>
                </c:pt>
                <c:pt idx="25">
                  <c:v>4.1999999999999997E-3</c:v>
                </c:pt>
                <c:pt idx="26">
                  <c:v>3.8E-3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0B-493A-86B5-B4F32A26491B}"/>
            </c:ext>
          </c:extLst>
        </c:ser>
        <c:ser>
          <c:idx val="9"/>
          <c:order val="9"/>
          <c:tx>
            <c:strRef>
              <c:f>vš_věk!$A$13</c:f>
              <c:strCache>
                <c:ptCount val="1"/>
                <c:pt idx="0">
                  <c:v>27</c:v>
                </c:pt>
              </c:strCache>
            </c:strRef>
          </c:tx>
          <c:invertIfNegative val="0"/>
          <c:cat>
            <c:strRef>
              <c:f>vš_věk!$B$3:$AB$3</c:f>
              <c:strCache>
                <c:ptCount val="27"/>
                <c:pt idx="0">
                  <c:v>1999/00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vš_věk!$B$13:$AB$13</c:f>
              <c:numCache>
                <c:formatCode>0.0%</c:formatCode>
                <c:ptCount val="27"/>
                <c:pt idx="0">
                  <c:v>3.8233572369383872E-3</c:v>
                </c:pt>
                <c:pt idx="1">
                  <c:v>8.9914696313753619E-3</c:v>
                </c:pt>
                <c:pt idx="2">
                  <c:v>7.6E-3</c:v>
                </c:pt>
                <c:pt idx="3">
                  <c:v>8.5409772240607352E-3</c:v>
                </c:pt>
                <c:pt idx="4">
                  <c:v>8.8519842923897099E-3</c:v>
                </c:pt>
                <c:pt idx="5">
                  <c:v>7.1119095424284047E-3</c:v>
                </c:pt>
                <c:pt idx="6">
                  <c:v>6.9595476294040896E-3</c:v>
                </c:pt>
                <c:pt idx="7">
                  <c:v>6.9281437744940898E-3</c:v>
                </c:pt>
                <c:pt idx="8">
                  <c:v>6.2155529629480634E-3</c:v>
                </c:pt>
                <c:pt idx="9">
                  <c:v>5.7449718830741171E-3</c:v>
                </c:pt>
                <c:pt idx="10">
                  <c:v>5.3804612676406531E-3</c:v>
                </c:pt>
                <c:pt idx="11">
                  <c:v>4.9191048935141746E-3</c:v>
                </c:pt>
                <c:pt idx="12">
                  <c:v>4.3458195523421294E-3</c:v>
                </c:pt>
                <c:pt idx="13">
                  <c:v>4.086870681145118E-3</c:v>
                </c:pt>
                <c:pt idx="14">
                  <c:v>4.4539999999999996E-3</c:v>
                </c:pt>
                <c:pt idx="15">
                  <c:v>4.5069999999999997E-3</c:v>
                </c:pt>
                <c:pt idx="16">
                  <c:v>4.7999999999999996E-3</c:v>
                </c:pt>
                <c:pt idx="17">
                  <c:v>4.8723652155492E-3</c:v>
                </c:pt>
                <c:pt idx="18">
                  <c:v>4.7000000000000002E-3</c:v>
                </c:pt>
                <c:pt idx="19">
                  <c:v>4.1000000000000003E-3</c:v>
                </c:pt>
                <c:pt idx="20">
                  <c:v>3.7000000000000002E-3</c:v>
                </c:pt>
                <c:pt idx="21">
                  <c:v>3.5000000000000001E-3</c:v>
                </c:pt>
                <c:pt idx="22">
                  <c:v>3.3999999999999998E-3</c:v>
                </c:pt>
                <c:pt idx="23">
                  <c:v>2.5000000000000001E-3</c:v>
                </c:pt>
                <c:pt idx="24">
                  <c:v>2.5999999999999999E-3</c:v>
                </c:pt>
                <c:pt idx="25">
                  <c:v>2.5000000000000001E-3</c:v>
                </c:pt>
                <c:pt idx="26">
                  <c:v>2.3999999999999998E-3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0B-493A-86B5-B4F32A26491B}"/>
            </c:ext>
          </c:extLst>
        </c:ser>
        <c:ser>
          <c:idx val="10"/>
          <c:order val="10"/>
          <c:tx>
            <c:strRef>
              <c:f>vš_věk!$A$14</c:f>
              <c:strCache>
                <c:ptCount val="1"/>
                <c:pt idx="0">
                  <c:v>28</c:v>
                </c:pt>
              </c:strCache>
            </c:strRef>
          </c:tx>
          <c:invertIfNegative val="0"/>
          <c:cat>
            <c:strRef>
              <c:f>vš_věk!$B$3:$AB$3</c:f>
              <c:strCache>
                <c:ptCount val="27"/>
                <c:pt idx="0">
                  <c:v>1999/00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vš_věk!$B$14:$AB$14</c:f>
              <c:numCache>
                <c:formatCode>0.0%</c:formatCode>
                <c:ptCount val="27"/>
                <c:pt idx="0">
                  <c:v>2.5245133908971171E-3</c:v>
                </c:pt>
                <c:pt idx="1">
                  <c:v>5.930271281092297E-3</c:v>
                </c:pt>
                <c:pt idx="2">
                  <c:v>5.7000000000000002E-3</c:v>
                </c:pt>
                <c:pt idx="3">
                  <c:v>5.5358185711504772E-3</c:v>
                </c:pt>
                <c:pt idx="4">
                  <c:v>6.5594629576815897E-3</c:v>
                </c:pt>
                <c:pt idx="5">
                  <c:v>5.9917573708126379E-3</c:v>
                </c:pt>
                <c:pt idx="6">
                  <c:v>5.4848873847590154E-3</c:v>
                </c:pt>
                <c:pt idx="7">
                  <c:v>5.2012780874186983E-3</c:v>
                </c:pt>
                <c:pt idx="8">
                  <c:v>5.7428490968338894E-3</c:v>
                </c:pt>
                <c:pt idx="9">
                  <c:v>4.5088403667865647E-3</c:v>
                </c:pt>
                <c:pt idx="10">
                  <c:v>4.1074500989567277E-3</c:v>
                </c:pt>
                <c:pt idx="11">
                  <c:v>3.9144322177675417E-3</c:v>
                </c:pt>
                <c:pt idx="12">
                  <c:v>3.3747404045842643E-3</c:v>
                </c:pt>
                <c:pt idx="13">
                  <c:v>3.2379072063178711E-3</c:v>
                </c:pt>
                <c:pt idx="14">
                  <c:v>3.532E-3</c:v>
                </c:pt>
                <c:pt idx="15">
                  <c:v>3.64E-3</c:v>
                </c:pt>
                <c:pt idx="16">
                  <c:v>3.8E-3</c:v>
                </c:pt>
                <c:pt idx="17">
                  <c:v>3.4027115771634361E-3</c:v>
                </c:pt>
                <c:pt idx="18">
                  <c:v>3.3E-3</c:v>
                </c:pt>
                <c:pt idx="19">
                  <c:v>2.8E-3</c:v>
                </c:pt>
                <c:pt idx="20">
                  <c:v>3.0999999999999999E-3</c:v>
                </c:pt>
                <c:pt idx="21">
                  <c:v>2.3999999999999998E-3</c:v>
                </c:pt>
                <c:pt idx="22">
                  <c:v>2.5000000000000001E-3</c:v>
                </c:pt>
                <c:pt idx="23">
                  <c:v>2.3E-3</c:v>
                </c:pt>
                <c:pt idx="24">
                  <c:v>1.6999999999999999E-3</c:v>
                </c:pt>
                <c:pt idx="25">
                  <c:v>1.9E-3</c:v>
                </c:pt>
                <c:pt idx="26">
                  <c:v>1.6999999999999999E-3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0B-493A-86B5-B4F32A26491B}"/>
            </c:ext>
          </c:extLst>
        </c:ser>
        <c:ser>
          <c:idx val="11"/>
          <c:order val="11"/>
          <c:tx>
            <c:strRef>
              <c:f>vš_věk!$A$15</c:f>
              <c:strCache>
                <c:ptCount val="1"/>
                <c:pt idx="0">
                  <c:v>29</c:v>
                </c:pt>
              </c:strCache>
            </c:strRef>
          </c:tx>
          <c:invertIfNegative val="0"/>
          <c:cat>
            <c:strRef>
              <c:f>vš_věk!$B$3:$AB$3</c:f>
              <c:strCache>
                <c:ptCount val="27"/>
                <c:pt idx="0">
                  <c:v>1999/00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vš_věk!$B$15:$AB$15</c:f>
              <c:numCache>
                <c:formatCode>0.0%</c:formatCode>
                <c:ptCount val="27"/>
                <c:pt idx="0">
                  <c:v>1.5549539001902533E-3</c:v>
                </c:pt>
                <c:pt idx="1">
                  <c:v>4.3036093962138481E-3</c:v>
                </c:pt>
                <c:pt idx="2">
                  <c:v>3.8999999999999998E-3</c:v>
                </c:pt>
                <c:pt idx="3">
                  <c:v>4.221822075141133E-3</c:v>
                </c:pt>
                <c:pt idx="4">
                  <c:v>4.9031437158589802E-3</c:v>
                </c:pt>
                <c:pt idx="5">
                  <c:v>5.3788439184191059E-3</c:v>
                </c:pt>
                <c:pt idx="6">
                  <c:v>4.3497172683775558E-3</c:v>
                </c:pt>
                <c:pt idx="7">
                  <c:v>4.3430155004291317E-3</c:v>
                </c:pt>
                <c:pt idx="8">
                  <c:v>4.2241622078287803E-3</c:v>
                </c:pt>
                <c:pt idx="9">
                  <c:v>4.0630224428795788E-3</c:v>
                </c:pt>
                <c:pt idx="10">
                  <c:v>3.2620911197525585E-3</c:v>
                </c:pt>
                <c:pt idx="11">
                  <c:v>2.7960230126911011E-3</c:v>
                </c:pt>
                <c:pt idx="12">
                  <c:v>2.8940081532189844E-3</c:v>
                </c:pt>
                <c:pt idx="13">
                  <c:v>2.4185587364264583E-3</c:v>
                </c:pt>
                <c:pt idx="14">
                  <c:v>2.539E-3</c:v>
                </c:pt>
                <c:pt idx="15">
                  <c:v>2.807E-3</c:v>
                </c:pt>
                <c:pt idx="16">
                  <c:v>2.8E-3</c:v>
                </c:pt>
                <c:pt idx="17">
                  <c:v>2.7009850651414044E-3</c:v>
                </c:pt>
                <c:pt idx="18">
                  <c:v>2.8999999999999998E-3</c:v>
                </c:pt>
                <c:pt idx="19">
                  <c:v>2.5999999999999999E-3</c:v>
                </c:pt>
                <c:pt idx="20">
                  <c:v>2.0999999999999999E-3</c:v>
                </c:pt>
                <c:pt idx="21">
                  <c:v>2E-3</c:v>
                </c:pt>
                <c:pt idx="22">
                  <c:v>2.2000000000000001E-3</c:v>
                </c:pt>
                <c:pt idx="23">
                  <c:v>1.9E-3</c:v>
                </c:pt>
                <c:pt idx="24">
                  <c:v>1.8E-3</c:v>
                </c:pt>
                <c:pt idx="25">
                  <c:v>1.2999999999999999E-3</c:v>
                </c:pt>
                <c:pt idx="26">
                  <c:v>1.5E-3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0B-493A-86B5-B4F32A26491B}"/>
            </c:ext>
          </c:extLst>
        </c:ser>
        <c:ser>
          <c:idx val="12"/>
          <c:order val="12"/>
          <c:tx>
            <c:strRef>
              <c:f>vš_věk!$A$16</c:f>
              <c:strCache>
                <c:ptCount val="1"/>
                <c:pt idx="0">
                  <c:v>30 a více</c:v>
                </c:pt>
              </c:strCache>
            </c:strRef>
          </c:tx>
          <c:invertIfNegative val="0"/>
          <c:cat>
            <c:strRef>
              <c:f>vš_věk!$B$3:$AB$3</c:f>
              <c:strCache>
                <c:ptCount val="27"/>
                <c:pt idx="0">
                  <c:v>1999/00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vš_věk!$B$16:$AB$16</c:f>
              <c:numCache>
                <c:formatCode>0.0%</c:formatCode>
                <c:ptCount val="27"/>
                <c:pt idx="0">
                  <c:v>9.9151178106249085E-3</c:v>
                </c:pt>
                <c:pt idx="1">
                  <c:v>2.1415580090683197E-2</c:v>
                </c:pt>
                <c:pt idx="2">
                  <c:v>1.72E-2</c:v>
                </c:pt>
                <c:pt idx="3">
                  <c:v>1.891911621569009E-2</c:v>
                </c:pt>
                <c:pt idx="4">
                  <c:v>1.8679999999999999E-2</c:v>
                </c:pt>
                <c:pt idx="5">
                  <c:v>2.4E-2</c:v>
                </c:pt>
                <c:pt idx="6">
                  <c:v>2.5000000000000001E-2</c:v>
                </c:pt>
                <c:pt idx="7">
                  <c:v>2.7E-2</c:v>
                </c:pt>
                <c:pt idx="8">
                  <c:v>2.8000000000000001E-2</c:v>
                </c:pt>
                <c:pt idx="9">
                  <c:v>2.4975935964334565E-2</c:v>
                </c:pt>
                <c:pt idx="10">
                  <c:v>2.5052461983709435E-2</c:v>
                </c:pt>
                <c:pt idx="11">
                  <c:v>2.1458291866890335E-2</c:v>
                </c:pt>
                <c:pt idx="12">
                  <c:v>1.9440812245211891E-2</c:v>
                </c:pt>
                <c:pt idx="13">
                  <c:v>1.6762092793681238E-2</c:v>
                </c:pt>
                <c:pt idx="14">
                  <c:v>1.7836000000000001E-2</c:v>
                </c:pt>
                <c:pt idx="15">
                  <c:v>2.0754999999999999E-2</c:v>
                </c:pt>
                <c:pt idx="16">
                  <c:v>1.9599999999999999E-2</c:v>
                </c:pt>
                <c:pt idx="17">
                  <c:v>1.9224658404829998E-2</c:v>
                </c:pt>
                <c:pt idx="18">
                  <c:v>0.02</c:v>
                </c:pt>
                <c:pt idx="19">
                  <c:v>1.9599999999999999E-2</c:v>
                </c:pt>
                <c:pt idx="20">
                  <c:v>1.77E-2</c:v>
                </c:pt>
                <c:pt idx="21">
                  <c:v>1.7100000000000001E-2</c:v>
                </c:pt>
                <c:pt idx="22">
                  <c:v>1.89E-2</c:v>
                </c:pt>
                <c:pt idx="23">
                  <c:v>1.43E-2</c:v>
                </c:pt>
                <c:pt idx="24">
                  <c:v>1.41E-2</c:v>
                </c:pt>
                <c:pt idx="25">
                  <c:v>1.43E-2</c:v>
                </c:pt>
                <c:pt idx="26">
                  <c:v>1.24E-2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8A-4984-970E-78F0C8303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5531136"/>
        <c:axId val="58947776"/>
      </c:barChart>
      <c:catAx>
        <c:axId val="12553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5894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947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125531136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0260277199863297E-2"/>
          <c:y val="0.90818962766130651"/>
          <c:w val="0.47052370666056126"/>
          <c:h val="5.119686341936786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Index přihlášek</a:t>
            </a:r>
          </a:p>
        </c:rich>
      </c:tx>
      <c:layout>
        <c:manualLayout>
          <c:xMode val="edge"/>
          <c:yMode val="edge"/>
          <c:x val="0.46382577797200525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920052857614801E-2"/>
          <c:y val="0.12943290333389176"/>
          <c:w val="0.94251780001364671"/>
          <c:h val="0.667554058388643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vš_sex!$R$86</c:f>
              <c:strCache>
                <c:ptCount val="1"/>
                <c:pt idx="0">
                  <c:v>muži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vš_sex!$T$85:$AS$85</c:f>
              <c:strCache>
                <c:ptCount val="26"/>
                <c:pt idx="0">
                  <c:v>2000/01</c:v>
                </c:pt>
                <c:pt idx="1">
                  <c:v>2001/02</c:v>
                </c:pt>
                <c:pt idx="2">
                  <c:v>2002/03</c:v>
                </c:pt>
                <c:pt idx="3">
                  <c:v>2003/04</c:v>
                </c:pt>
                <c:pt idx="4">
                  <c:v>2004/05</c:v>
                </c:pt>
                <c:pt idx="5">
                  <c:v>2005/06</c:v>
                </c:pt>
                <c:pt idx="6">
                  <c:v>2006/07</c:v>
                </c:pt>
                <c:pt idx="7">
                  <c:v>2007/08</c:v>
                </c:pt>
                <c:pt idx="8">
                  <c:v>2008/09</c:v>
                </c:pt>
                <c:pt idx="9">
                  <c:v>2009/10</c:v>
                </c:pt>
                <c:pt idx="10">
                  <c:v>2010/11</c:v>
                </c:pt>
                <c:pt idx="11">
                  <c:v>2011/12</c:v>
                </c:pt>
                <c:pt idx="12">
                  <c:v>2012/13</c:v>
                </c:pt>
                <c:pt idx="13">
                  <c:v>2013/14</c:v>
                </c:pt>
                <c:pt idx="14">
                  <c:v>2014/15</c:v>
                </c:pt>
                <c:pt idx="15">
                  <c:v>2015/16</c:v>
                </c:pt>
                <c:pt idx="16">
                  <c:v>2016/17</c:v>
                </c:pt>
                <c:pt idx="17">
                  <c:v>2017/18</c:v>
                </c:pt>
                <c:pt idx="18">
                  <c:v>2018/19</c:v>
                </c:pt>
                <c:pt idx="19">
                  <c:v>2019/20</c:v>
                </c:pt>
                <c:pt idx="20">
                  <c:v>2020/21</c:v>
                </c:pt>
                <c:pt idx="21">
                  <c:v>2021/22</c:v>
                </c:pt>
                <c:pt idx="22">
                  <c:v>2022/23</c:v>
                </c:pt>
                <c:pt idx="23">
                  <c:v>2023/24</c:v>
                </c:pt>
                <c:pt idx="24">
                  <c:v>2024/25</c:v>
                </c:pt>
                <c:pt idx="25">
                  <c:v>2025/26</c:v>
                </c:pt>
              </c:strCache>
            </c:strRef>
          </c:cat>
          <c:val>
            <c:numRef>
              <c:f>vš_sex!$T$86:$AS$86</c:f>
              <c:numCache>
                <c:formatCode>#,##0.00</c:formatCode>
                <c:ptCount val="26"/>
                <c:pt idx="0">
                  <c:v>1.8998944033790919</c:v>
                </c:pt>
                <c:pt idx="1">
                  <c:v>2.1545983798454431</c:v>
                </c:pt>
                <c:pt idx="2">
                  <c:v>2.0286271958360445</c:v>
                </c:pt>
                <c:pt idx="3">
                  <c:v>1.9887057718023782</c:v>
                </c:pt>
                <c:pt idx="4">
                  <c:v>2.0233468355295767</c:v>
                </c:pt>
                <c:pt idx="5">
                  <c:v>2.0857823669579032</c:v>
                </c:pt>
                <c:pt idx="6" formatCode="0.00">
                  <c:v>2.0214112828151181</c:v>
                </c:pt>
                <c:pt idx="7" formatCode="0.00">
                  <c:v>2.0135310296860673</c:v>
                </c:pt>
                <c:pt idx="8" formatCode="0.00">
                  <c:v>1.9522730847884222</c:v>
                </c:pt>
                <c:pt idx="9" formatCode="0.00">
                  <c:v>1.9832375855827498</c:v>
                </c:pt>
                <c:pt idx="10">
                  <c:v>1.9638503127318987</c:v>
                </c:pt>
                <c:pt idx="11">
                  <c:v>1.9912978733305413</c:v>
                </c:pt>
                <c:pt idx="12">
                  <c:v>1.9652480400553396</c:v>
                </c:pt>
                <c:pt idx="13">
                  <c:v>1.9562756400270032</c:v>
                </c:pt>
                <c:pt idx="14">
                  <c:v>1.9332474573664276</c:v>
                </c:pt>
                <c:pt idx="15">
                  <c:v>1.9347356733082475</c:v>
                </c:pt>
                <c:pt idx="16">
                  <c:v>1.9454761415290436</c:v>
                </c:pt>
                <c:pt idx="17">
                  <c:v>1.9237509498480243</c:v>
                </c:pt>
                <c:pt idx="18">
                  <c:v>1.9043907634216004</c:v>
                </c:pt>
                <c:pt idx="19">
                  <c:v>1.918587463624186</c:v>
                </c:pt>
                <c:pt idx="20">
                  <c:v>1.8832404293545861</c:v>
                </c:pt>
                <c:pt idx="21">
                  <c:v>1.9729846799197519</c:v>
                </c:pt>
                <c:pt idx="22">
                  <c:v>2.0274570123281066</c:v>
                </c:pt>
                <c:pt idx="23">
                  <c:v>2.0890242813783253</c:v>
                </c:pt>
                <c:pt idx="24">
                  <c:v>2.1056734612751487</c:v>
                </c:pt>
                <c:pt idx="25">
                  <c:v>2.1479692969507824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6C-432E-A9E6-302B68673C06}"/>
            </c:ext>
          </c:extLst>
        </c:ser>
        <c:ser>
          <c:idx val="1"/>
          <c:order val="1"/>
          <c:tx>
            <c:strRef>
              <c:f>vš_sex!$R$87</c:f>
              <c:strCache>
                <c:ptCount val="1"/>
                <c:pt idx="0">
                  <c:v>ženy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vš_sex!$T$85:$AS$85</c:f>
              <c:strCache>
                <c:ptCount val="26"/>
                <c:pt idx="0">
                  <c:v>2000/01</c:v>
                </c:pt>
                <c:pt idx="1">
                  <c:v>2001/02</c:v>
                </c:pt>
                <c:pt idx="2">
                  <c:v>2002/03</c:v>
                </c:pt>
                <c:pt idx="3">
                  <c:v>2003/04</c:v>
                </c:pt>
                <c:pt idx="4">
                  <c:v>2004/05</c:v>
                </c:pt>
                <c:pt idx="5">
                  <c:v>2005/06</c:v>
                </c:pt>
                <c:pt idx="6">
                  <c:v>2006/07</c:v>
                </c:pt>
                <c:pt idx="7">
                  <c:v>2007/08</c:v>
                </c:pt>
                <c:pt idx="8">
                  <c:v>2008/09</c:v>
                </c:pt>
                <c:pt idx="9">
                  <c:v>2009/10</c:v>
                </c:pt>
                <c:pt idx="10">
                  <c:v>2010/11</c:v>
                </c:pt>
                <c:pt idx="11">
                  <c:v>2011/12</c:v>
                </c:pt>
                <c:pt idx="12">
                  <c:v>2012/13</c:v>
                </c:pt>
                <c:pt idx="13">
                  <c:v>2013/14</c:v>
                </c:pt>
                <c:pt idx="14">
                  <c:v>2014/15</c:v>
                </c:pt>
                <c:pt idx="15">
                  <c:v>2015/16</c:v>
                </c:pt>
                <c:pt idx="16">
                  <c:v>2016/17</c:v>
                </c:pt>
                <c:pt idx="17">
                  <c:v>2017/18</c:v>
                </c:pt>
                <c:pt idx="18">
                  <c:v>2018/19</c:v>
                </c:pt>
                <c:pt idx="19">
                  <c:v>2019/20</c:v>
                </c:pt>
                <c:pt idx="20">
                  <c:v>2020/21</c:v>
                </c:pt>
                <c:pt idx="21">
                  <c:v>2021/22</c:v>
                </c:pt>
                <c:pt idx="22">
                  <c:v>2022/23</c:v>
                </c:pt>
                <c:pt idx="23">
                  <c:v>2023/24</c:v>
                </c:pt>
                <c:pt idx="24">
                  <c:v>2024/25</c:v>
                </c:pt>
                <c:pt idx="25">
                  <c:v>2025/26</c:v>
                </c:pt>
              </c:strCache>
            </c:strRef>
          </c:cat>
          <c:val>
            <c:numRef>
              <c:f>vš_sex!$T$87:$AS$87</c:f>
              <c:numCache>
                <c:formatCode>#,##0.00</c:formatCode>
                <c:ptCount val="26"/>
                <c:pt idx="0">
                  <c:v>2.107121836374338</c:v>
                </c:pt>
                <c:pt idx="1">
                  <c:v>2.3520056422463194</c:v>
                </c:pt>
                <c:pt idx="2">
                  <c:v>2.2559399893329664</c:v>
                </c:pt>
                <c:pt idx="3">
                  <c:v>2.3022055750249173</c:v>
                </c:pt>
                <c:pt idx="4">
                  <c:v>2.3185652246534159</c:v>
                </c:pt>
                <c:pt idx="5">
                  <c:v>2.3770379245816451</c:v>
                </c:pt>
                <c:pt idx="6" formatCode="0.00">
                  <c:v>2.3345692336994475</c:v>
                </c:pt>
                <c:pt idx="7" formatCode="0.00">
                  <c:v>2.3494936436112908</c:v>
                </c:pt>
                <c:pt idx="8" formatCode="0.00">
                  <c:v>2.341234266862696</c:v>
                </c:pt>
                <c:pt idx="9" formatCode="0.00">
                  <c:v>2.3882289221881208</c:v>
                </c:pt>
                <c:pt idx="10">
                  <c:v>2.3857161441394563</c:v>
                </c:pt>
                <c:pt idx="11">
                  <c:v>2.3687548446198297</c:v>
                </c:pt>
                <c:pt idx="12">
                  <c:v>2.3665388732604744</c:v>
                </c:pt>
                <c:pt idx="13">
                  <c:v>2.3256935909839709</c:v>
                </c:pt>
                <c:pt idx="14">
                  <c:v>2.2918936743705913</c:v>
                </c:pt>
                <c:pt idx="15">
                  <c:v>2.3200589512876202</c:v>
                </c:pt>
                <c:pt idx="16">
                  <c:v>2.3541144174066293</c:v>
                </c:pt>
                <c:pt idx="17">
                  <c:v>2.3669076333965573</c:v>
                </c:pt>
                <c:pt idx="18">
                  <c:v>2.3287813759916762</c:v>
                </c:pt>
                <c:pt idx="19">
                  <c:v>2.3405132320487332</c:v>
                </c:pt>
                <c:pt idx="20">
                  <c:v>2.3373967612796189</c:v>
                </c:pt>
                <c:pt idx="21">
                  <c:v>2.4257407122463284</c:v>
                </c:pt>
                <c:pt idx="22">
                  <c:v>2.4726608263826959</c:v>
                </c:pt>
                <c:pt idx="23">
                  <c:v>2.5635932701295232</c:v>
                </c:pt>
                <c:pt idx="24">
                  <c:v>2.5968735349747005</c:v>
                </c:pt>
                <c:pt idx="25">
                  <c:v>2.6473606006099946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6C-432E-A9E6-302B68673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662592"/>
        <c:axId val="123961920"/>
      </c:barChart>
      <c:catAx>
        <c:axId val="8766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cs-CZ"/>
          </a:p>
        </c:txPr>
        <c:crossAx val="12396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961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cs-CZ"/>
          </a:p>
        </c:txPr>
        <c:crossAx val="87662592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3706661047943834"/>
          <c:y val="0.91489473390294296"/>
          <c:w val="0.19821615955091837"/>
          <c:h val="6.914893617021278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FF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AD3-4D0F-BC74-A707475079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531648"/>
        <c:axId val="123964224"/>
      </c:barChart>
      <c:catAx>
        <c:axId val="125531648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39642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3964224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5531648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64C-46F2-A8C4-479C64796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532160"/>
        <c:axId val="123965952"/>
      </c:barChart>
      <c:catAx>
        <c:axId val="125532160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39659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3965952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5532160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521-4D8B-9D63-B4C489A45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533696"/>
        <c:axId val="123967680"/>
      </c:barChart>
      <c:catAx>
        <c:axId val="125533696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3967680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23967680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5533696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F25-4ACC-AF62-841F47614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0835968"/>
        <c:axId val="129343488"/>
      </c:barChart>
      <c:catAx>
        <c:axId val="130835968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9343488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29343488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30835968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0C9-46A5-ACF4-9CE7EF1AD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0838016"/>
        <c:axId val="129345216"/>
      </c:barChart>
      <c:catAx>
        <c:axId val="130838016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93452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9345216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30838016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149-4A91-84D9-1D45E3097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448704"/>
        <c:axId val="129346944"/>
      </c:barChart>
      <c:catAx>
        <c:axId val="181448704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9346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9346944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448704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4FA-4B45-B103-A9C03E6D8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450240"/>
        <c:axId val="129348672"/>
      </c:barChart>
      <c:catAx>
        <c:axId val="181450240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934867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29348672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450240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CEF-4F39-9C59-92A23E3D6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450752"/>
        <c:axId val="129350400"/>
      </c:barChart>
      <c:catAx>
        <c:axId val="181450752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9350400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29350400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450752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771-407F-A9F4-9EEE35A9C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452288"/>
        <c:axId val="181633600"/>
      </c:barChart>
      <c:catAx>
        <c:axId val="181452288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6336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633600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452288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E9D-4B3D-B17E-ECE389835C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710848"/>
        <c:axId val="181635328"/>
      </c:barChart>
      <c:catAx>
        <c:axId val="181710848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6353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635328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710848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F87-4E3B-85BE-E1215B5EF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712384"/>
        <c:axId val="181637056"/>
      </c:barChart>
      <c:catAx>
        <c:axId val="181712384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637056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1637056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712384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77C-475C-B064-274768A57C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712896"/>
        <c:axId val="181638784"/>
      </c:barChart>
      <c:catAx>
        <c:axId val="181712896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63878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1638784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712896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C43-4412-8588-52DDA5DF9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0837504"/>
        <c:axId val="181640512"/>
      </c:barChart>
      <c:catAx>
        <c:axId val="130837504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640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640512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30837504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C04-42AB-880A-FAF2E30F6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252096"/>
        <c:axId val="181798016"/>
      </c:barChart>
      <c:catAx>
        <c:axId val="181252096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798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798016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252096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11D-4B29-89D0-C67EA9239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253632"/>
        <c:axId val="181799744"/>
      </c:barChart>
      <c:catAx>
        <c:axId val="181253632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79974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1799744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253632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7BC-4026-B6A1-9922B81AA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254144"/>
        <c:axId val="181801472"/>
      </c:barChart>
      <c:catAx>
        <c:axId val="181254144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80147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1801472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254144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E79-49AD-9380-3ED408C64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255680"/>
        <c:axId val="181803200"/>
      </c:barChart>
      <c:catAx>
        <c:axId val="181255680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8032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803200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255680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28-45F4-BC0E-6E9583AF12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030336"/>
        <c:axId val="181977088"/>
      </c:barChart>
      <c:catAx>
        <c:axId val="182030336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9770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977088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030336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556-459D-9F41-6177D5F2E9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031872"/>
        <c:axId val="181978816"/>
      </c:barChart>
      <c:catAx>
        <c:axId val="182031872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978816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1978816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031872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A2A-48D2-89B6-88A6253DE9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033920"/>
        <c:axId val="181980544"/>
      </c:barChart>
      <c:catAx>
        <c:axId val="182033920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98054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1980544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033920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A09-4FD0-A6EB-E968949291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326784"/>
        <c:axId val="181982272"/>
      </c:barChart>
      <c:catAx>
        <c:axId val="182326784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9822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982272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326784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68C-43CC-83F2-259CBE4F6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327296"/>
        <c:axId val="181984000"/>
      </c:barChart>
      <c:catAx>
        <c:axId val="182327296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9840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984000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327296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26A-4BB2-AEEB-894FF0A08C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328832"/>
        <c:axId val="182460992"/>
      </c:barChart>
      <c:catAx>
        <c:axId val="182328832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46099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2460992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328832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4DC-4844-9FFB-6F450440A7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728000"/>
        <c:axId val="182462720"/>
      </c:barChart>
      <c:catAx>
        <c:axId val="201728000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462720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2462720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1728000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C69-4055-9FB2-2DBBC1B3C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729536"/>
        <c:axId val="182464448"/>
      </c:barChart>
      <c:catAx>
        <c:axId val="201729536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464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2464448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1729536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228-43C0-AB04-BAA4FF08B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730048"/>
        <c:axId val="182466176"/>
      </c:barChart>
      <c:catAx>
        <c:axId val="201730048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466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2466176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1730048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759-46E8-92D2-032B87BDE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326272"/>
        <c:axId val="182467904"/>
      </c:barChart>
      <c:catAx>
        <c:axId val="182326272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46790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2467904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326272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BE7-40A2-BF97-594806295B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38944"/>
        <c:axId val="202122944"/>
      </c:barChart>
      <c:catAx>
        <c:axId val="182738944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212294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02122944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738944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4D0-4D23-A6AE-51573E0F2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40480"/>
        <c:axId val="202124672"/>
      </c:barChart>
      <c:catAx>
        <c:axId val="182740480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2124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2124672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740480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443-4137-8552-8B0F73D44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40992"/>
        <c:axId val="202127552"/>
      </c:barChart>
      <c:catAx>
        <c:axId val="182740992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21275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2127552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740992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EE0-4C35-A0F3-215336F37F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42528"/>
        <c:axId val="202260480"/>
      </c:barChart>
      <c:catAx>
        <c:axId val="182742528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2260480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02260480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742528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AFB-40A6-B62E-7EAA959AC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871360"/>
        <c:axId val="202262208"/>
      </c:barChart>
      <c:catAx>
        <c:axId val="201871360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2262208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02262208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1871360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3CA-4AC2-B7B3-8C715BB8F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531648"/>
        <c:axId val="123964224"/>
      </c:barChart>
      <c:catAx>
        <c:axId val="125531648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39642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3964224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5531648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43-4657-9929-4685F87DB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532160"/>
        <c:axId val="123965952"/>
      </c:barChart>
      <c:catAx>
        <c:axId val="125532160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39659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3965952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5532160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30C-4D29-BD47-9A833866D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533696"/>
        <c:axId val="123967680"/>
      </c:barChart>
      <c:catAx>
        <c:axId val="125533696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3967680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23967680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5533696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54A-4E5B-A5A5-5F396A530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0835968"/>
        <c:axId val="129343488"/>
      </c:barChart>
      <c:catAx>
        <c:axId val="130835968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9343488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29343488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30835968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DAE-4829-8F32-DBA65A3C9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0838016"/>
        <c:axId val="129345216"/>
      </c:barChart>
      <c:catAx>
        <c:axId val="130838016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93452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9345216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30838016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AC1-42BD-AE94-C1DC93427B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448704"/>
        <c:axId val="129346944"/>
      </c:barChart>
      <c:catAx>
        <c:axId val="181448704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9346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9346944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448704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A3F-4708-8CF3-0DC098DBB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450240"/>
        <c:axId val="129348672"/>
      </c:barChart>
      <c:catAx>
        <c:axId val="181450240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934867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29348672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450240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9CD-48DB-A29D-394EF49F2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450752"/>
        <c:axId val="129350400"/>
      </c:barChart>
      <c:catAx>
        <c:axId val="181450752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29350400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29350400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450752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91E-4E0C-968C-4CA6A80CD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452288"/>
        <c:axId val="181633600"/>
      </c:barChart>
      <c:catAx>
        <c:axId val="181452288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6336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633600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452288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EAE-44E4-A4CE-B6B310A62E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710848"/>
        <c:axId val="181635328"/>
      </c:barChart>
      <c:catAx>
        <c:axId val="181710848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6353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635328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710848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873-4ED3-9742-567283299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712384"/>
        <c:axId val="181637056"/>
      </c:barChart>
      <c:catAx>
        <c:axId val="181712384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637056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1637056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712384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500-4021-8EAE-91785A6CB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712896"/>
        <c:axId val="181638784"/>
      </c:barChart>
      <c:catAx>
        <c:axId val="181712896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63878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1638784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712896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EAF-4AF2-BFE6-71CEBADEC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0837504"/>
        <c:axId val="181640512"/>
      </c:barChart>
      <c:catAx>
        <c:axId val="130837504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640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640512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30837504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E2B-4A2B-AB2D-DCC5CE078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252096"/>
        <c:axId val="181798016"/>
      </c:barChart>
      <c:catAx>
        <c:axId val="181252096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798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798016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252096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B4D-4B3F-BE7E-7CFEBA064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253632"/>
        <c:axId val="181799744"/>
      </c:barChart>
      <c:catAx>
        <c:axId val="181253632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79974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1799744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253632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890-4D18-8A55-E7F8D15B9E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254144"/>
        <c:axId val="181801472"/>
      </c:barChart>
      <c:catAx>
        <c:axId val="181254144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80147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1801472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254144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567-41CF-96D6-2ABF07DDFC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255680"/>
        <c:axId val="181803200"/>
      </c:barChart>
      <c:catAx>
        <c:axId val="181255680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8032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803200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255680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8E0-4F2E-AEC7-CECA9CA64B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030336"/>
        <c:axId val="181977088"/>
      </c:barChart>
      <c:catAx>
        <c:axId val="182030336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9770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977088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030336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3C4-46D9-8326-0EF3B6D2EF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031872"/>
        <c:axId val="181978816"/>
      </c:barChart>
      <c:catAx>
        <c:axId val="182031872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978816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1978816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031872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F02-4957-A6C6-71DF4853B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033920"/>
        <c:axId val="181980544"/>
      </c:barChart>
      <c:catAx>
        <c:axId val="182033920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98054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1980544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033920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CB8-41EB-B824-C31BDEE216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326784"/>
        <c:axId val="181982272"/>
      </c:barChart>
      <c:catAx>
        <c:axId val="182326784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9822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982272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326784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480-43F5-8EE7-30E9EAB6C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327296"/>
        <c:axId val="181984000"/>
      </c:barChart>
      <c:catAx>
        <c:axId val="182327296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19840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984000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327296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189-4C6A-B188-6868A92F1F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328832"/>
        <c:axId val="182460992"/>
      </c:barChart>
      <c:catAx>
        <c:axId val="182328832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46099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2460992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328832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003-42ED-ACB3-03E454E1D9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728000"/>
        <c:axId val="182462720"/>
      </c:barChart>
      <c:catAx>
        <c:axId val="201728000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462720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2462720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1728000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F65-48A3-AA5D-54F5C5EE3C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729536"/>
        <c:axId val="182464448"/>
      </c:barChart>
      <c:catAx>
        <c:axId val="201729536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464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2464448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1729536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0EA-4409-B336-C3B81E4A9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730048"/>
        <c:axId val="182466176"/>
      </c:barChart>
      <c:catAx>
        <c:axId val="201730048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466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2466176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1730048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EB5-4FDC-B788-93DBEDE37C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326272"/>
        <c:axId val="182467904"/>
      </c:barChart>
      <c:catAx>
        <c:axId val="182326272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46790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82467904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326272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43A-420F-9632-8A240E5BA1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38944"/>
        <c:axId val="202122944"/>
      </c:barChart>
      <c:catAx>
        <c:axId val="182738944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212294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02122944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738944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7FD-44FC-8077-AF32A6C61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40480"/>
        <c:axId val="202124672"/>
      </c:barChart>
      <c:catAx>
        <c:axId val="182740480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2124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2124672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740480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FAB-4701-BC22-13F22164D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40992"/>
        <c:axId val="202127552"/>
      </c:barChart>
      <c:catAx>
        <c:axId val="182740992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21275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2127552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740992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400-4E00-8E7B-ECE667722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42528"/>
        <c:axId val="202260480"/>
      </c:barChart>
      <c:catAx>
        <c:axId val="182742528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2260480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02260480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2742528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5F0-44DF-8328-BBE968F77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871360"/>
        <c:axId val="202262208"/>
      </c:barChart>
      <c:catAx>
        <c:axId val="201871360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2262208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02262208"/>
        <c:scaling>
          <c:orientation val="minMax"/>
          <c:max val="12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1871360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7.xml"/><Relationship Id="rId18" Type="http://schemas.openxmlformats.org/officeDocument/2006/relationships/chart" Target="../charts/chart22.xml"/><Relationship Id="rId26" Type="http://schemas.openxmlformats.org/officeDocument/2006/relationships/chart" Target="../charts/chart30.xml"/><Relationship Id="rId39" Type="http://schemas.openxmlformats.org/officeDocument/2006/relationships/chart" Target="../charts/chart43.xml"/><Relationship Id="rId21" Type="http://schemas.openxmlformats.org/officeDocument/2006/relationships/chart" Target="../charts/chart25.xml"/><Relationship Id="rId34" Type="http://schemas.openxmlformats.org/officeDocument/2006/relationships/chart" Target="../charts/chart38.xml"/><Relationship Id="rId42" Type="http://schemas.openxmlformats.org/officeDocument/2006/relationships/chart" Target="../charts/chart46.xml"/><Relationship Id="rId47" Type="http://schemas.openxmlformats.org/officeDocument/2006/relationships/chart" Target="../charts/chart51.xml"/><Relationship Id="rId50" Type="http://schemas.openxmlformats.org/officeDocument/2006/relationships/chart" Target="../charts/chart54.xml"/><Relationship Id="rId55" Type="http://schemas.openxmlformats.org/officeDocument/2006/relationships/chart" Target="../charts/chart59.xml"/><Relationship Id="rId63" Type="http://schemas.openxmlformats.org/officeDocument/2006/relationships/chart" Target="../charts/chart6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6" Type="http://schemas.openxmlformats.org/officeDocument/2006/relationships/chart" Target="../charts/chart20.xml"/><Relationship Id="rId29" Type="http://schemas.openxmlformats.org/officeDocument/2006/relationships/chart" Target="../charts/chart33.xml"/><Relationship Id="rId11" Type="http://schemas.openxmlformats.org/officeDocument/2006/relationships/chart" Target="../charts/chart15.xml"/><Relationship Id="rId24" Type="http://schemas.openxmlformats.org/officeDocument/2006/relationships/chart" Target="../charts/chart28.xml"/><Relationship Id="rId32" Type="http://schemas.openxmlformats.org/officeDocument/2006/relationships/chart" Target="../charts/chart36.xml"/><Relationship Id="rId37" Type="http://schemas.openxmlformats.org/officeDocument/2006/relationships/chart" Target="../charts/chart41.xml"/><Relationship Id="rId40" Type="http://schemas.openxmlformats.org/officeDocument/2006/relationships/chart" Target="../charts/chart44.xml"/><Relationship Id="rId45" Type="http://schemas.openxmlformats.org/officeDocument/2006/relationships/chart" Target="../charts/chart49.xml"/><Relationship Id="rId53" Type="http://schemas.openxmlformats.org/officeDocument/2006/relationships/chart" Target="../charts/chart57.xml"/><Relationship Id="rId58" Type="http://schemas.openxmlformats.org/officeDocument/2006/relationships/chart" Target="../charts/chart62.xml"/><Relationship Id="rId5" Type="http://schemas.openxmlformats.org/officeDocument/2006/relationships/chart" Target="../charts/chart9.xml"/><Relationship Id="rId61" Type="http://schemas.openxmlformats.org/officeDocument/2006/relationships/chart" Target="../charts/chart65.xml"/><Relationship Id="rId19" Type="http://schemas.openxmlformats.org/officeDocument/2006/relationships/chart" Target="../charts/chart23.xml"/><Relationship Id="rId14" Type="http://schemas.openxmlformats.org/officeDocument/2006/relationships/chart" Target="../charts/chart18.xml"/><Relationship Id="rId22" Type="http://schemas.openxmlformats.org/officeDocument/2006/relationships/chart" Target="../charts/chart26.xml"/><Relationship Id="rId27" Type="http://schemas.openxmlformats.org/officeDocument/2006/relationships/chart" Target="../charts/chart31.xml"/><Relationship Id="rId30" Type="http://schemas.openxmlformats.org/officeDocument/2006/relationships/chart" Target="../charts/chart34.xml"/><Relationship Id="rId35" Type="http://schemas.openxmlformats.org/officeDocument/2006/relationships/chart" Target="../charts/chart39.xml"/><Relationship Id="rId43" Type="http://schemas.openxmlformats.org/officeDocument/2006/relationships/chart" Target="../charts/chart47.xml"/><Relationship Id="rId48" Type="http://schemas.openxmlformats.org/officeDocument/2006/relationships/chart" Target="../charts/chart52.xml"/><Relationship Id="rId56" Type="http://schemas.openxmlformats.org/officeDocument/2006/relationships/chart" Target="../charts/chart60.xml"/><Relationship Id="rId64" Type="http://schemas.openxmlformats.org/officeDocument/2006/relationships/chart" Target="../charts/chart68.xml"/><Relationship Id="rId8" Type="http://schemas.openxmlformats.org/officeDocument/2006/relationships/chart" Target="../charts/chart12.xml"/><Relationship Id="rId51" Type="http://schemas.openxmlformats.org/officeDocument/2006/relationships/chart" Target="../charts/chart55.xml"/><Relationship Id="rId3" Type="http://schemas.openxmlformats.org/officeDocument/2006/relationships/chart" Target="../charts/chart7.xml"/><Relationship Id="rId12" Type="http://schemas.openxmlformats.org/officeDocument/2006/relationships/chart" Target="../charts/chart16.xml"/><Relationship Id="rId17" Type="http://schemas.openxmlformats.org/officeDocument/2006/relationships/chart" Target="../charts/chart21.xml"/><Relationship Id="rId25" Type="http://schemas.openxmlformats.org/officeDocument/2006/relationships/chart" Target="../charts/chart29.xml"/><Relationship Id="rId33" Type="http://schemas.openxmlformats.org/officeDocument/2006/relationships/chart" Target="../charts/chart37.xml"/><Relationship Id="rId38" Type="http://schemas.openxmlformats.org/officeDocument/2006/relationships/chart" Target="../charts/chart42.xml"/><Relationship Id="rId46" Type="http://schemas.openxmlformats.org/officeDocument/2006/relationships/chart" Target="../charts/chart50.xml"/><Relationship Id="rId59" Type="http://schemas.openxmlformats.org/officeDocument/2006/relationships/chart" Target="../charts/chart63.xml"/><Relationship Id="rId20" Type="http://schemas.openxmlformats.org/officeDocument/2006/relationships/chart" Target="../charts/chart24.xml"/><Relationship Id="rId41" Type="http://schemas.openxmlformats.org/officeDocument/2006/relationships/chart" Target="../charts/chart45.xml"/><Relationship Id="rId54" Type="http://schemas.openxmlformats.org/officeDocument/2006/relationships/chart" Target="../charts/chart58.xml"/><Relationship Id="rId62" Type="http://schemas.openxmlformats.org/officeDocument/2006/relationships/chart" Target="../charts/chart6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15" Type="http://schemas.openxmlformats.org/officeDocument/2006/relationships/chart" Target="../charts/chart19.xml"/><Relationship Id="rId23" Type="http://schemas.openxmlformats.org/officeDocument/2006/relationships/chart" Target="../charts/chart27.xml"/><Relationship Id="rId28" Type="http://schemas.openxmlformats.org/officeDocument/2006/relationships/chart" Target="../charts/chart32.xml"/><Relationship Id="rId36" Type="http://schemas.openxmlformats.org/officeDocument/2006/relationships/chart" Target="../charts/chart40.xml"/><Relationship Id="rId49" Type="http://schemas.openxmlformats.org/officeDocument/2006/relationships/chart" Target="../charts/chart53.xml"/><Relationship Id="rId57" Type="http://schemas.openxmlformats.org/officeDocument/2006/relationships/chart" Target="../charts/chart61.xml"/><Relationship Id="rId10" Type="http://schemas.openxmlformats.org/officeDocument/2006/relationships/chart" Target="../charts/chart14.xml"/><Relationship Id="rId31" Type="http://schemas.openxmlformats.org/officeDocument/2006/relationships/chart" Target="../charts/chart35.xml"/><Relationship Id="rId44" Type="http://schemas.openxmlformats.org/officeDocument/2006/relationships/chart" Target="../charts/chart48.xml"/><Relationship Id="rId52" Type="http://schemas.openxmlformats.org/officeDocument/2006/relationships/chart" Target="../charts/chart56.xml"/><Relationship Id="rId60" Type="http://schemas.openxmlformats.org/officeDocument/2006/relationships/chart" Target="../charts/chart64.xml"/><Relationship Id="rId4" Type="http://schemas.openxmlformats.org/officeDocument/2006/relationships/chart" Target="../charts/chart8.xml"/><Relationship Id="rId9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38100</xdr:rowOff>
    </xdr:from>
    <xdr:to>
      <xdr:col>17</xdr:col>
      <xdr:colOff>542925</xdr:colOff>
      <xdr:row>59</xdr:row>
      <xdr:rowOff>133350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75</xdr:row>
      <xdr:rowOff>0</xdr:rowOff>
    </xdr:from>
    <xdr:to>
      <xdr:col>2</xdr:col>
      <xdr:colOff>0</xdr:colOff>
      <xdr:row>75</xdr:row>
      <xdr:rowOff>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0.48021</cdr:x>
      <cdr:y>0.18327</cdr:y>
    </cdr:from>
    <cdr:to>
      <cdr:x>0.48094</cdr:x>
      <cdr:y>0.45214</cdr:y>
    </cdr:to>
    <cdr:sp macro="" textlink="">
      <cdr:nvSpPr>
        <cdr:cNvPr id="4097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320492" y="137592"/>
          <a:ext cx="1986" cy="19719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76200</xdr:rowOff>
    </xdr:from>
    <xdr:to>
      <xdr:col>13</xdr:col>
      <xdr:colOff>0</xdr:colOff>
      <xdr:row>44</xdr:row>
      <xdr:rowOff>76200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87</xdr:row>
      <xdr:rowOff>57150</xdr:rowOff>
    </xdr:from>
    <xdr:to>
      <xdr:col>12</xdr:col>
      <xdr:colOff>409575</xdr:colOff>
      <xdr:row>109</xdr:row>
      <xdr:rowOff>76200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211</xdr:row>
      <xdr:rowOff>0</xdr:rowOff>
    </xdr:from>
    <xdr:to>
      <xdr:col>3</xdr:col>
      <xdr:colOff>0</xdr:colOff>
      <xdr:row>211</xdr:row>
      <xdr:rowOff>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222</xdr:row>
      <xdr:rowOff>0</xdr:rowOff>
    </xdr:from>
    <xdr:to>
      <xdr:col>3</xdr:col>
      <xdr:colOff>0</xdr:colOff>
      <xdr:row>222</xdr:row>
      <xdr:rowOff>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85725</xdr:colOff>
      <xdr:row>188</xdr:row>
      <xdr:rowOff>0</xdr:rowOff>
    </xdr:from>
    <xdr:to>
      <xdr:col>3</xdr:col>
      <xdr:colOff>0</xdr:colOff>
      <xdr:row>188</xdr:row>
      <xdr:rowOff>0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85725</xdr:colOff>
      <xdr:row>192</xdr:row>
      <xdr:rowOff>0</xdr:rowOff>
    </xdr:from>
    <xdr:to>
      <xdr:col>3</xdr:col>
      <xdr:colOff>0</xdr:colOff>
      <xdr:row>192</xdr:row>
      <xdr:rowOff>0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85725</xdr:colOff>
      <xdr:row>211</xdr:row>
      <xdr:rowOff>0</xdr:rowOff>
    </xdr:from>
    <xdr:to>
      <xdr:col>3</xdr:col>
      <xdr:colOff>0</xdr:colOff>
      <xdr:row>211</xdr:row>
      <xdr:rowOff>0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85725</xdr:colOff>
      <xdr:row>222</xdr:row>
      <xdr:rowOff>0</xdr:rowOff>
    </xdr:from>
    <xdr:to>
      <xdr:col>3</xdr:col>
      <xdr:colOff>0</xdr:colOff>
      <xdr:row>222</xdr:row>
      <xdr:rowOff>0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85725</xdr:colOff>
      <xdr:row>188</xdr:row>
      <xdr:rowOff>0</xdr:rowOff>
    </xdr:from>
    <xdr:to>
      <xdr:col>3</xdr:col>
      <xdr:colOff>0</xdr:colOff>
      <xdr:row>188</xdr:row>
      <xdr:rowOff>0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85725</xdr:colOff>
      <xdr:row>192</xdr:row>
      <xdr:rowOff>0</xdr:rowOff>
    </xdr:from>
    <xdr:to>
      <xdr:col>3</xdr:col>
      <xdr:colOff>0</xdr:colOff>
      <xdr:row>192</xdr:row>
      <xdr:rowOff>0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85725</xdr:colOff>
      <xdr:row>211</xdr:row>
      <xdr:rowOff>0</xdr:rowOff>
    </xdr:from>
    <xdr:to>
      <xdr:col>3</xdr:col>
      <xdr:colOff>0</xdr:colOff>
      <xdr:row>211</xdr:row>
      <xdr:rowOff>0</xdr:rowOff>
    </xdr:to>
    <xdr:graphicFrame macro="">
      <xdr:nvGraphicFramePr>
        <xdr:cNvPr id="10" name="graf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85725</xdr:colOff>
      <xdr:row>222</xdr:row>
      <xdr:rowOff>0</xdr:rowOff>
    </xdr:from>
    <xdr:to>
      <xdr:col>3</xdr:col>
      <xdr:colOff>0</xdr:colOff>
      <xdr:row>222</xdr:row>
      <xdr:rowOff>0</xdr:rowOff>
    </xdr:to>
    <xdr:graphicFrame macro="">
      <xdr:nvGraphicFramePr>
        <xdr:cNvPr id="11" name="graf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</xdr:col>
      <xdr:colOff>85725</xdr:colOff>
      <xdr:row>188</xdr:row>
      <xdr:rowOff>0</xdr:rowOff>
    </xdr:from>
    <xdr:to>
      <xdr:col>3</xdr:col>
      <xdr:colOff>0</xdr:colOff>
      <xdr:row>188</xdr:row>
      <xdr:rowOff>0</xdr:rowOff>
    </xdr:to>
    <xdr:graphicFrame macro="">
      <xdr:nvGraphicFramePr>
        <xdr:cNvPr id="12" name="graf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85725</xdr:colOff>
      <xdr:row>192</xdr:row>
      <xdr:rowOff>0</xdr:rowOff>
    </xdr:from>
    <xdr:to>
      <xdr:col>3</xdr:col>
      <xdr:colOff>0</xdr:colOff>
      <xdr:row>192</xdr:row>
      <xdr:rowOff>0</xdr:rowOff>
    </xdr:to>
    <xdr:graphicFrame macro="">
      <xdr:nvGraphicFramePr>
        <xdr:cNvPr id="13" name="graf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85725</xdr:colOff>
      <xdr:row>211</xdr:row>
      <xdr:rowOff>0</xdr:rowOff>
    </xdr:from>
    <xdr:to>
      <xdr:col>3</xdr:col>
      <xdr:colOff>0</xdr:colOff>
      <xdr:row>211</xdr:row>
      <xdr:rowOff>0</xdr:rowOff>
    </xdr:to>
    <xdr:graphicFrame macro="">
      <xdr:nvGraphicFramePr>
        <xdr:cNvPr id="14" name="graf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85725</xdr:colOff>
      <xdr:row>222</xdr:row>
      <xdr:rowOff>0</xdr:rowOff>
    </xdr:from>
    <xdr:to>
      <xdr:col>3</xdr:col>
      <xdr:colOff>0</xdr:colOff>
      <xdr:row>222</xdr:row>
      <xdr:rowOff>0</xdr:rowOff>
    </xdr:to>
    <xdr:graphicFrame macro="">
      <xdr:nvGraphicFramePr>
        <xdr:cNvPr id="15" name="graf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</xdr:col>
      <xdr:colOff>85725</xdr:colOff>
      <xdr:row>188</xdr:row>
      <xdr:rowOff>0</xdr:rowOff>
    </xdr:from>
    <xdr:to>
      <xdr:col>3</xdr:col>
      <xdr:colOff>0</xdr:colOff>
      <xdr:row>188</xdr:row>
      <xdr:rowOff>0</xdr:rowOff>
    </xdr:to>
    <xdr:graphicFrame macro="">
      <xdr:nvGraphicFramePr>
        <xdr:cNvPr id="16" name="graf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</xdr:col>
      <xdr:colOff>85725</xdr:colOff>
      <xdr:row>192</xdr:row>
      <xdr:rowOff>0</xdr:rowOff>
    </xdr:from>
    <xdr:to>
      <xdr:col>3</xdr:col>
      <xdr:colOff>0</xdr:colOff>
      <xdr:row>192</xdr:row>
      <xdr:rowOff>0</xdr:rowOff>
    </xdr:to>
    <xdr:graphicFrame macro="">
      <xdr:nvGraphicFramePr>
        <xdr:cNvPr id="17" name="graf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85725</xdr:colOff>
      <xdr:row>211</xdr:row>
      <xdr:rowOff>0</xdr:rowOff>
    </xdr:from>
    <xdr:to>
      <xdr:col>3</xdr:col>
      <xdr:colOff>0</xdr:colOff>
      <xdr:row>211</xdr:row>
      <xdr:rowOff>0</xdr:rowOff>
    </xdr:to>
    <xdr:graphicFrame macro="">
      <xdr:nvGraphicFramePr>
        <xdr:cNvPr id="18" name="graf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85725</xdr:colOff>
      <xdr:row>222</xdr:row>
      <xdr:rowOff>0</xdr:rowOff>
    </xdr:from>
    <xdr:to>
      <xdr:col>3</xdr:col>
      <xdr:colOff>0</xdr:colOff>
      <xdr:row>222</xdr:row>
      <xdr:rowOff>0</xdr:rowOff>
    </xdr:to>
    <xdr:graphicFrame macro="">
      <xdr:nvGraphicFramePr>
        <xdr:cNvPr id="19" name="graf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</xdr:col>
      <xdr:colOff>85725</xdr:colOff>
      <xdr:row>188</xdr:row>
      <xdr:rowOff>0</xdr:rowOff>
    </xdr:from>
    <xdr:to>
      <xdr:col>3</xdr:col>
      <xdr:colOff>0</xdr:colOff>
      <xdr:row>188</xdr:row>
      <xdr:rowOff>0</xdr:rowOff>
    </xdr:to>
    <xdr:graphicFrame macro="">
      <xdr:nvGraphicFramePr>
        <xdr:cNvPr id="20" name="graf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</xdr:col>
      <xdr:colOff>85725</xdr:colOff>
      <xdr:row>192</xdr:row>
      <xdr:rowOff>0</xdr:rowOff>
    </xdr:from>
    <xdr:to>
      <xdr:col>3</xdr:col>
      <xdr:colOff>0</xdr:colOff>
      <xdr:row>192</xdr:row>
      <xdr:rowOff>0</xdr:rowOff>
    </xdr:to>
    <xdr:graphicFrame macro="">
      <xdr:nvGraphicFramePr>
        <xdr:cNvPr id="21" name="graf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85725</xdr:colOff>
      <xdr:row>211</xdr:row>
      <xdr:rowOff>0</xdr:rowOff>
    </xdr:from>
    <xdr:to>
      <xdr:col>3</xdr:col>
      <xdr:colOff>0</xdr:colOff>
      <xdr:row>211</xdr:row>
      <xdr:rowOff>0</xdr:rowOff>
    </xdr:to>
    <xdr:graphicFrame macro="">
      <xdr:nvGraphicFramePr>
        <xdr:cNvPr id="22" name="graf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85725</xdr:colOff>
      <xdr:row>222</xdr:row>
      <xdr:rowOff>0</xdr:rowOff>
    </xdr:from>
    <xdr:to>
      <xdr:col>3</xdr:col>
      <xdr:colOff>0</xdr:colOff>
      <xdr:row>222</xdr:row>
      <xdr:rowOff>0</xdr:rowOff>
    </xdr:to>
    <xdr:graphicFrame macro="">
      <xdr:nvGraphicFramePr>
        <xdr:cNvPr id="23" name="graf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2</xdr:col>
      <xdr:colOff>85725</xdr:colOff>
      <xdr:row>188</xdr:row>
      <xdr:rowOff>0</xdr:rowOff>
    </xdr:from>
    <xdr:to>
      <xdr:col>3</xdr:col>
      <xdr:colOff>0</xdr:colOff>
      <xdr:row>188</xdr:row>
      <xdr:rowOff>0</xdr:rowOff>
    </xdr:to>
    <xdr:graphicFrame macro="">
      <xdr:nvGraphicFramePr>
        <xdr:cNvPr id="24" name="graf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2</xdr:col>
      <xdr:colOff>85725</xdr:colOff>
      <xdr:row>192</xdr:row>
      <xdr:rowOff>0</xdr:rowOff>
    </xdr:from>
    <xdr:to>
      <xdr:col>3</xdr:col>
      <xdr:colOff>0</xdr:colOff>
      <xdr:row>192</xdr:row>
      <xdr:rowOff>0</xdr:rowOff>
    </xdr:to>
    <xdr:graphicFrame macro="">
      <xdr:nvGraphicFramePr>
        <xdr:cNvPr id="25" name="graf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85725</xdr:colOff>
      <xdr:row>211</xdr:row>
      <xdr:rowOff>0</xdr:rowOff>
    </xdr:from>
    <xdr:to>
      <xdr:col>3</xdr:col>
      <xdr:colOff>0</xdr:colOff>
      <xdr:row>211</xdr:row>
      <xdr:rowOff>0</xdr:rowOff>
    </xdr:to>
    <xdr:graphicFrame macro="">
      <xdr:nvGraphicFramePr>
        <xdr:cNvPr id="26" name="graf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85725</xdr:colOff>
      <xdr:row>222</xdr:row>
      <xdr:rowOff>0</xdr:rowOff>
    </xdr:from>
    <xdr:to>
      <xdr:col>3</xdr:col>
      <xdr:colOff>0</xdr:colOff>
      <xdr:row>222</xdr:row>
      <xdr:rowOff>0</xdr:rowOff>
    </xdr:to>
    <xdr:graphicFrame macro="">
      <xdr:nvGraphicFramePr>
        <xdr:cNvPr id="27" name="graf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2</xdr:col>
      <xdr:colOff>85725</xdr:colOff>
      <xdr:row>188</xdr:row>
      <xdr:rowOff>0</xdr:rowOff>
    </xdr:from>
    <xdr:to>
      <xdr:col>3</xdr:col>
      <xdr:colOff>0</xdr:colOff>
      <xdr:row>188</xdr:row>
      <xdr:rowOff>0</xdr:rowOff>
    </xdr:to>
    <xdr:graphicFrame macro="">
      <xdr:nvGraphicFramePr>
        <xdr:cNvPr id="28" name="graf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2</xdr:col>
      <xdr:colOff>85725</xdr:colOff>
      <xdr:row>192</xdr:row>
      <xdr:rowOff>0</xdr:rowOff>
    </xdr:from>
    <xdr:to>
      <xdr:col>3</xdr:col>
      <xdr:colOff>0</xdr:colOff>
      <xdr:row>192</xdr:row>
      <xdr:rowOff>0</xdr:rowOff>
    </xdr:to>
    <xdr:graphicFrame macro="">
      <xdr:nvGraphicFramePr>
        <xdr:cNvPr id="29" name="graf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85725</xdr:colOff>
      <xdr:row>211</xdr:row>
      <xdr:rowOff>0</xdr:rowOff>
    </xdr:from>
    <xdr:to>
      <xdr:col>3</xdr:col>
      <xdr:colOff>0</xdr:colOff>
      <xdr:row>211</xdr:row>
      <xdr:rowOff>0</xdr:rowOff>
    </xdr:to>
    <xdr:graphicFrame macro="">
      <xdr:nvGraphicFramePr>
        <xdr:cNvPr id="30" name="graf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85725</xdr:colOff>
      <xdr:row>222</xdr:row>
      <xdr:rowOff>0</xdr:rowOff>
    </xdr:from>
    <xdr:to>
      <xdr:col>3</xdr:col>
      <xdr:colOff>0</xdr:colOff>
      <xdr:row>222</xdr:row>
      <xdr:rowOff>0</xdr:rowOff>
    </xdr:to>
    <xdr:graphicFrame macro="">
      <xdr:nvGraphicFramePr>
        <xdr:cNvPr id="31" name="graf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2</xdr:col>
      <xdr:colOff>85725</xdr:colOff>
      <xdr:row>188</xdr:row>
      <xdr:rowOff>0</xdr:rowOff>
    </xdr:from>
    <xdr:to>
      <xdr:col>3</xdr:col>
      <xdr:colOff>0</xdr:colOff>
      <xdr:row>188</xdr:row>
      <xdr:rowOff>0</xdr:rowOff>
    </xdr:to>
    <xdr:graphicFrame macro="">
      <xdr:nvGraphicFramePr>
        <xdr:cNvPr id="32" name="graf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</xdr:col>
      <xdr:colOff>85725</xdr:colOff>
      <xdr:row>192</xdr:row>
      <xdr:rowOff>0</xdr:rowOff>
    </xdr:from>
    <xdr:to>
      <xdr:col>3</xdr:col>
      <xdr:colOff>0</xdr:colOff>
      <xdr:row>192</xdr:row>
      <xdr:rowOff>0</xdr:rowOff>
    </xdr:to>
    <xdr:graphicFrame macro="">
      <xdr:nvGraphicFramePr>
        <xdr:cNvPr id="33" name="graf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85725</xdr:colOff>
      <xdr:row>211</xdr:row>
      <xdr:rowOff>0</xdr:rowOff>
    </xdr:from>
    <xdr:to>
      <xdr:col>3</xdr:col>
      <xdr:colOff>0</xdr:colOff>
      <xdr:row>211</xdr:row>
      <xdr:rowOff>0</xdr:rowOff>
    </xdr:to>
    <xdr:graphicFrame macro="">
      <xdr:nvGraphicFramePr>
        <xdr:cNvPr id="34" name="graf 1">
          <a:extLst>
            <a:ext uri="{FF2B5EF4-FFF2-40B4-BE49-F238E27FC236}">
              <a16:creationId xmlns:a16="http://schemas.microsoft.com/office/drawing/2014/main" id="{B9079372-7327-4BEF-8F5D-DC9F57FDFD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85725</xdr:colOff>
      <xdr:row>223</xdr:row>
      <xdr:rowOff>0</xdr:rowOff>
    </xdr:from>
    <xdr:to>
      <xdr:col>3</xdr:col>
      <xdr:colOff>0</xdr:colOff>
      <xdr:row>223</xdr:row>
      <xdr:rowOff>0</xdr:rowOff>
    </xdr:to>
    <xdr:graphicFrame macro="">
      <xdr:nvGraphicFramePr>
        <xdr:cNvPr id="35" name="graf 2">
          <a:extLst>
            <a:ext uri="{FF2B5EF4-FFF2-40B4-BE49-F238E27FC236}">
              <a16:creationId xmlns:a16="http://schemas.microsoft.com/office/drawing/2014/main" id="{296B44D0-4D9C-46E4-8CCA-8748163835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</xdr:col>
      <xdr:colOff>85725</xdr:colOff>
      <xdr:row>188</xdr:row>
      <xdr:rowOff>0</xdr:rowOff>
    </xdr:from>
    <xdr:to>
      <xdr:col>3</xdr:col>
      <xdr:colOff>0</xdr:colOff>
      <xdr:row>188</xdr:row>
      <xdr:rowOff>0</xdr:rowOff>
    </xdr:to>
    <xdr:graphicFrame macro="">
      <xdr:nvGraphicFramePr>
        <xdr:cNvPr id="36" name="graf 3">
          <a:extLst>
            <a:ext uri="{FF2B5EF4-FFF2-40B4-BE49-F238E27FC236}">
              <a16:creationId xmlns:a16="http://schemas.microsoft.com/office/drawing/2014/main" id="{499A09F1-50F1-4169-81A6-1464C949C0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2</xdr:col>
      <xdr:colOff>85725</xdr:colOff>
      <xdr:row>192</xdr:row>
      <xdr:rowOff>0</xdr:rowOff>
    </xdr:from>
    <xdr:to>
      <xdr:col>3</xdr:col>
      <xdr:colOff>0</xdr:colOff>
      <xdr:row>192</xdr:row>
      <xdr:rowOff>0</xdr:rowOff>
    </xdr:to>
    <xdr:graphicFrame macro="">
      <xdr:nvGraphicFramePr>
        <xdr:cNvPr id="37" name="graf 4">
          <a:extLst>
            <a:ext uri="{FF2B5EF4-FFF2-40B4-BE49-F238E27FC236}">
              <a16:creationId xmlns:a16="http://schemas.microsoft.com/office/drawing/2014/main" id="{70A6F367-BD2D-4B39-BAF7-553A189E3A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85725</xdr:colOff>
      <xdr:row>211</xdr:row>
      <xdr:rowOff>0</xdr:rowOff>
    </xdr:from>
    <xdr:to>
      <xdr:col>3</xdr:col>
      <xdr:colOff>0</xdr:colOff>
      <xdr:row>211</xdr:row>
      <xdr:rowOff>0</xdr:rowOff>
    </xdr:to>
    <xdr:graphicFrame macro="">
      <xdr:nvGraphicFramePr>
        <xdr:cNvPr id="38" name="graf 5">
          <a:extLst>
            <a:ext uri="{FF2B5EF4-FFF2-40B4-BE49-F238E27FC236}">
              <a16:creationId xmlns:a16="http://schemas.microsoft.com/office/drawing/2014/main" id="{E9F89E47-3F6F-48AC-88D6-82340DE71C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</xdr:col>
      <xdr:colOff>85725</xdr:colOff>
      <xdr:row>223</xdr:row>
      <xdr:rowOff>0</xdr:rowOff>
    </xdr:from>
    <xdr:to>
      <xdr:col>3</xdr:col>
      <xdr:colOff>0</xdr:colOff>
      <xdr:row>223</xdr:row>
      <xdr:rowOff>0</xdr:rowOff>
    </xdr:to>
    <xdr:graphicFrame macro="">
      <xdr:nvGraphicFramePr>
        <xdr:cNvPr id="39" name="graf 6">
          <a:extLst>
            <a:ext uri="{FF2B5EF4-FFF2-40B4-BE49-F238E27FC236}">
              <a16:creationId xmlns:a16="http://schemas.microsoft.com/office/drawing/2014/main" id="{9CDFE740-6EB4-4029-90CE-4B8151A66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2</xdr:col>
      <xdr:colOff>85725</xdr:colOff>
      <xdr:row>188</xdr:row>
      <xdr:rowOff>0</xdr:rowOff>
    </xdr:from>
    <xdr:to>
      <xdr:col>3</xdr:col>
      <xdr:colOff>0</xdr:colOff>
      <xdr:row>188</xdr:row>
      <xdr:rowOff>0</xdr:rowOff>
    </xdr:to>
    <xdr:graphicFrame macro="">
      <xdr:nvGraphicFramePr>
        <xdr:cNvPr id="40" name="graf 7">
          <a:extLst>
            <a:ext uri="{FF2B5EF4-FFF2-40B4-BE49-F238E27FC236}">
              <a16:creationId xmlns:a16="http://schemas.microsoft.com/office/drawing/2014/main" id="{73A82EE5-E426-43F2-A809-A84DE667BC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2</xdr:col>
      <xdr:colOff>85725</xdr:colOff>
      <xdr:row>192</xdr:row>
      <xdr:rowOff>0</xdr:rowOff>
    </xdr:from>
    <xdr:to>
      <xdr:col>3</xdr:col>
      <xdr:colOff>0</xdr:colOff>
      <xdr:row>192</xdr:row>
      <xdr:rowOff>0</xdr:rowOff>
    </xdr:to>
    <xdr:graphicFrame macro="">
      <xdr:nvGraphicFramePr>
        <xdr:cNvPr id="41" name="graf 8">
          <a:extLst>
            <a:ext uri="{FF2B5EF4-FFF2-40B4-BE49-F238E27FC236}">
              <a16:creationId xmlns:a16="http://schemas.microsoft.com/office/drawing/2014/main" id="{3A2414F2-3A71-47AB-B321-277BB8DA1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85725</xdr:colOff>
      <xdr:row>211</xdr:row>
      <xdr:rowOff>0</xdr:rowOff>
    </xdr:from>
    <xdr:to>
      <xdr:col>3</xdr:col>
      <xdr:colOff>0</xdr:colOff>
      <xdr:row>211</xdr:row>
      <xdr:rowOff>0</xdr:rowOff>
    </xdr:to>
    <xdr:graphicFrame macro="">
      <xdr:nvGraphicFramePr>
        <xdr:cNvPr id="42" name="graf 9">
          <a:extLst>
            <a:ext uri="{FF2B5EF4-FFF2-40B4-BE49-F238E27FC236}">
              <a16:creationId xmlns:a16="http://schemas.microsoft.com/office/drawing/2014/main" id="{4FDFFF91-1DF3-4692-8F1D-3BAA1EC164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1</xdr:col>
      <xdr:colOff>85725</xdr:colOff>
      <xdr:row>223</xdr:row>
      <xdr:rowOff>0</xdr:rowOff>
    </xdr:from>
    <xdr:to>
      <xdr:col>3</xdr:col>
      <xdr:colOff>0</xdr:colOff>
      <xdr:row>223</xdr:row>
      <xdr:rowOff>0</xdr:rowOff>
    </xdr:to>
    <xdr:graphicFrame macro="">
      <xdr:nvGraphicFramePr>
        <xdr:cNvPr id="43" name="graf 10">
          <a:extLst>
            <a:ext uri="{FF2B5EF4-FFF2-40B4-BE49-F238E27FC236}">
              <a16:creationId xmlns:a16="http://schemas.microsoft.com/office/drawing/2014/main" id="{BCC6FDBA-85ED-4A66-8C4F-58B0078BFE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2</xdr:col>
      <xdr:colOff>85725</xdr:colOff>
      <xdr:row>188</xdr:row>
      <xdr:rowOff>0</xdr:rowOff>
    </xdr:from>
    <xdr:to>
      <xdr:col>3</xdr:col>
      <xdr:colOff>0</xdr:colOff>
      <xdr:row>188</xdr:row>
      <xdr:rowOff>0</xdr:rowOff>
    </xdr:to>
    <xdr:graphicFrame macro="">
      <xdr:nvGraphicFramePr>
        <xdr:cNvPr id="44" name="graf 11">
          <a:extLst>
            <a:ext uri="{FF2B5EF4-FFF2-40B4-BE49-F238E27FC236}">
              <a16:creationId xmlns:a16="http://schemas.microsoft.com/office/drawing/2014/main" id="{94289BF8-700F-49C2-BE95-050A22B14E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2</xdr:col>
      <xdr:colOff>85725</xdr:colOff>
      <xdr:row>192</xdr:row>
      <xdr:rowOff>0</xdr:rowOff>
    </xdr:from>
    <xdr:to>
      <xdr:col>3</xdr:col>
      <xdr:colOff>0</xdr:colOff>
      <xdr:row>192</xdr:row>
      <xdr:rowOff>0</xdr:rowOff>
    </xdr:to>
    <xdr:graphicFrame macro="">
      <xdr:nvGraphicFramePr>
        <xdr:cNvPr id="45" name="graf 12">
          <a:extLst>
            <a:ext uri="{FF2B5EF4-FFF2-40B4-BE49-F238E27FC236}">
              <a16:creationId xmlns:a16="http://schemas.microsoft.com/office/drawing/2014/main" id="{297E7456-8536-4AC0-AB80-70474E7DE5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85725</xdr:colOff>
      <xdr:row>211</xdr:row>
      <xdr:rowOff>0</xdr:rowOff>
    </xdr:from>
    <xdr:to>
      <xdr:col>3</xdr:col>
      <xdr:colOff>0</xdr:colOff>
      <xdr:row>211</xdr:row>
      <xdr:rowOff>0</xdr:rowOff>
    </xdr:to>
    <xdr:graphicFrame macro="">
      <xdr:nvGraphicFramePr>
        <xdr:cNvPr id="46" name="graf 13">
          <a:extLst>
            <a:ext uri="{FF2B5EF4-FFF2-40B4-BE49-F238E27FC236}">
              <a16:creationId xmlns:a16="http://schemas.microsoft.com/office/drawing/2014/main" id="{06DA082C-8A89-40EB-9A87-F9B3FA477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85725</xdr:colOff>
      <xdr:row>223</xdr:row>
      <xdr:rowOff>0</xdr:rowOff>
    </xdr:from>
    <xdr:to>
      <xdr:col>3</xdr:col>
      <xdr:colOff>0</xdr:colOff>
      <xdr:row>223</xdr:row>
      <xdr:rowOff>0</xdr:rowOff>
    </xdr:to>
    <xdr:graphicFrame macro="">
      <xdr:nvGraphicFramePr>
        <xdr:cNvPr id="47" name="graf 14">
          <a:extLst>
            <a:ext uri="{FF2B5EF4-FFF2-40B4-BE49-F238E27FC236}">
              <a16:creationId xmlns:a16="http://schemas.microsoft.com/office/drawing/2014/main" id="{71E8D434-B123-4181-A803-B5A39631F1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2</xdr:col>
      <xdr:colOff>85725</xdr:colOff>
      <xdr:row>188</xdr:row>
      <xdr:rowOff>0</xdr:rowOff>
    </xdr:from>
    <xdr:to>
      <xdr:col>3</xdr:col>
      <xdr:colOff>0</xdr:colOff>
      <xdr:row>188</xdr:row>
      <xdr:rowOff>0</xdr:rowOff>
    </xdr:to>
    <xdr:graphicFrame macro="">
      <xdr:nvGraphicFramePr>
        <xdr:cNvPr id="48" name="graf 15">
          <a:extLst>
            <a:ext uri="{FF2B5EF4-FFF2-40B4-BE49-F238E27FC236}">
              <a16:creationId xmlns:a16="http://schemas.microsoft.com/office/drawing/2014/main" id="{75E0DDCA-5A41-4E38-A9DF-EEA308BA4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2</xdr:col>
      <xdr:colOff>85725</xdr:colOff>
      <xdr:row>192</xdr:row>
      <xdr:rowOff>0</xdr:rowOff>
    </xdr:from>
    <xdr:to>
      <xdr:col>3</xdr:col>
      <xdr:colOff>0</xdr:colOff>
      <xdr:row>192</xdr:row>
      <xdr:rowOff>0</xdr:rowOff>
    </xdr:to>
    <xdr:graphicFrame macro="">
      <xdr:nvGraphicFramePr>
        <xdr:cNvPr id="49" name="graf 16">
          <a:extLst>
            <a:ext uri="{FF2B5EF4-FFF2-40B4-BE49-F238E27FC236}">
              <a16:creationId xmlns:a16="http://schemas.microsoft.com/office/drawing/2014/main" id="{CA55765F-C208-41E3-868D-C459AB6CE9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85725</xdr:colOff>
      <xdr:row>211</xdr:row>
      <xdr:rowOff>0</xdr:rowOff>
    </xdr:from>
    <xdr:to>
      <xdr:col>3</xdr:col>
      <xdr:colOff>0</xdr:colOff>
      <xdr:row>211</xdr:row>
      <xdr:rowOff>0</xdr:rowOff>
    </xdr:to>
    <xdr:graphicFrame macro="">
      <xdr:nvGraphicFramePr>
        <xdr:cNvPr id="50" name="graf 17">
          <a:extLst>
            <a:ext uri="{FF2B5EF4-FFF2-40B4-BE49-F238E27FC236}">
              <a16:creationId xmlns:a16="http://schemas.microsoft.com/office/drawing/2014/main" id="{4DBAA269-DBAE-4E5A-8758-295034AEA4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85725</xdr:colOff>
      <xdr:row>223</xdr:row>
      <xdr:rowOff>0</xdr:rowOff>
    </xdr:from>
    <xdr:to>
      <xdr:col>3</xdr:col>
      <xdr:colOff>0</xdr:colOff>
      <xdr:row>223</xdr:row>
      <xdr:rowOff>0</xdr:rowOff>
    </xdr:to>
    <xdr:graphicFrame macro="">
      <xdr:nvGraphicFramePr>
        <xdr:cNvPr id="51" name="graf 18">
          <a:extLst>
            <a:ext uri="{FF2B5EF4-FFF2-40B4-BE49-F238E27FC236}">
              <a16:creationId xmlns:a16="http://schemas.microsoft.com/office/drawing/2014/main" id="{78EC30E8-85F5-4EF7-A4F7-CA5137BFAE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2</xdr:col>
      <xdr:colOff>85725</xdr:colOff>
      <xdr:row>188</xdr:row>
      <xdr:rowOff>0</xdr:rowOff>
    </xdr:from>
    <xdr:to>
      <xdr:col>3</xdr:col>
      <xdr:colOff>0</xdr:colOff>
      <xdr:row>188</xdr:row>
      <xdr:rowOff>0</xdr:rowOff>
    </xdr:to>
    <xdr:graphicFrame macro="">
      <xdr:nvGraphicFramePr>
        <xdr:cNvPr id="52" name="graf 19">
          <a:extLst>
            <a:ext uri="{FF2B5EF4-FFF2-40B4-BE49-F238E27FC236}">
              <a16:creationId xmlns:a16="http://schemas.microsoft.com/office/drawing/2014/main" id="{3424975B-9261-4946-87EF-9F45ABE94F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2</xdr:col>
      <xdr:colOff>85725</xdr:colOff>
      <xdr:row>192</xdr:row>
      <xdr:rowOff>0</xdr:rowOff>
    </xdr:from>
    <xdr:to>
      <xdr:col>3</xdr:col>
      <xdr:colOff>0</xdr:colOff>
      <xdr:row>192</xdr:row>
      <xdr:rowOff>0</xdr:rowOff>
    </xdr:to>
    <xdr:graphicFrame macro="">
      <xdr:nvGraphicFramePr>
        <xdr:cNvPr id="53" name="graf 20">
          <a:extLst>
            <a:ext uri="{FF2B5EF4-FFF2-40B4-BE49-F238E27FC236}">
              <a16:creationId xmlns:a16="http://schemas.microsoft.com/office/drawing/2014/main" id="{15F53635-5B2E-4FD3-AED5-38B87AC10D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85725</xdr:colOff>
      <xdr:row>211</xdr:row>
      <xdr:rowOff>0</xdr:rowOff>
    </xdr:from>
    <xdr:to>
      <xdr:col>3</xdr:col>
      <xdr:colOff>0</xdr:colOff>
      <xdr:row>211</xdr:row>
      <xdr:rowOff>0</xdr:rowOff>
    </xdr:to>
    <xdr:graphicFrame macro="">
      <xdr:nvGraphicFramePr>
        <xdr:cNvPr id="54" name="graf 21">
          <a:extLst>
            <a:ext uri="{FF2B5EF4-FFF2-40B4-BE49-F238E27FC236}">
              <a16:creationId xmlns:a16="http://schemas.microsoft.com/office/drawing/2014/main" id="{0EE6D973-BD77-4C8A-BC2B-884CB5AD01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85725</xdr:colOff>
      <xdr:row>223</xdr:row>
      <xdr:rowOff>0</xdr:rowOff>
    </xdr:from>
    <xdr:to>
      <xdr:col>3</xdr:col>
      <xdr:colOff>0</xdr:colOff>
      <xdr:row>223</xdr:row>
      <xdr:rowOff>0</xdr:rowOff>
    </xdr:to>
    <xdr:graphicFrame macro="">
      <xdr:nvGraphicFramePr>
        <xdr:cNvPr id="55" name="graf 22">
          <a:extLst>
            <a:ext uri="{FF2B5EF4-FFF2-40B4-BE49-F238E27FC236}">
              <a16:creationId xmlns:a16="http://schemas.microsoft.com/office/drawing/2014/main" id="{F6634AF7-D8EB-4D4E-9637-9923523736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2</xdr:col>
      <xdr:colOff>85725</xdr:colOff>
      <xdr:row>188</xdr:row>
      <xdr:rowOff>0</xdr:rowOff>
    </xdr:from>
    <xdr:to>
      <xdr:col>3</xdr:col>
      <xdr:colOff>0</xdr:colOff>
      <xdr:row>188</xdr:row>
      <xdr:rowOff>0</xdr:rowOff>
    </xdr:to>
    <xdr:graphicFrame macro="">
      <xdr:nvGraphicFramePr>
        <xdr:cNvPr id="56" name="graf 23">
          <a:extLst>
            <a:ext uri="{FF2B5EF4-FFF2-40B4-BE49-F238E27FC236}">
              <a16:creationId xmlns:a16="http://schemas.microsoft.com/office/drawing/2014/main" id="{FC0189B3-DF1B-451C-8720-E1D43B573A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2</xdr:col>
      <xdr:colOff>85725</xdr:colOff>
      <xdr:row>192</xdr:row>
      <xdr:rowOff>0</xdr:rowOff>
    </xdr:from>
    <xdr:to>
      <xdr:col>3</xdr:col>
      <xdr:colOff>0</xdr:colOff>
      <xdr:row>192</xdr:row>
      <xdr:rowOff>0</xdr:rowOff>
    </xdr:to>
    <xdr:graphicFrame macro="">
      <xdr:nvGraphicFramePr>
        <xdr:cNvPr id="57" name="graf 24">
          <a:extLst>
            <a:ext uri="{FF2B5EF4-FFF2-40B4-BE49-F238E27FC236}">
              <a16:creationId xmlns:a16="http://schemas.microsoft.com/office/drawing/2014/main" id="{46FC4287-299A-44D8-8400-2E40751436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85725</xdr:colOff>
      <xdr:row>211</xdr:row>
      <xdr:rowOff>0</xdr:rowOff>
    </xdr:from>
    <xdr:to>
      <xdr:col>3</xdr:col>
      <xdr:colOff>0</xdr:colOff>
      <xdr:row>211</xdr:row>
      <xdr:rowOff>0</xdr:rowOff>
    </xdr:to>
    <xdr:graphicFrame macro="">
      <xdr:nvGraphicFramePr>
        <xdr:cNvPr id="58" name="graf 25">
          <a:extLst>
            <a:ext uri="{FF2B5EF4-FFF2-40B4-BE49-F238E27FC236}">
              <a16:creationId xmlns:a16="http://schemas.microsoft.com/office/drawing/2014/main" id="{DFEA8354-CF58-4AF1-9D6D-B896DCEB85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85725</xdr:colOff>
      <xdr:row>223</xdr:row>
      <xdr:rowOff>0</xdr:rowOff>
    </xdr:from>
    <xdr:to>
      <xdr:col>3</xdr:col>
      <xdr:colOff>0</xdr:colOff>
      <xdr:row>223</xdr:row>
      <xdr:rowOff>0</xdr:rowOff>
    </xdr:to>
    <xdr:graphicFrame macro="">
      <xdr:nvGraphicFramePr>
        <xdr:cNvPr id="59" name="graf 26">
          <a:extLst>
            <a:ext uri="{FF2B5EF4-FFF2-40B4-BE49-F238E27FC236}">
              <a16:creationId xmlns:a16="http://schemas.microsoft.com/office/drawing/2014/main" id="{13A69A39-5781-4F06-991A-156FF2A19D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2</xdr:col>
      <xdr:colOff>85725</xdr:colOff>
      <xdr:row>188</xdr:row>
      <xdr:rowOff>0</xdr:rowOff>
    </xdr:from>
    <xdr:to>
      <xdr:col>3</xdr:col>
      <xdr:colOff>0</xdr:colOff>
      <xdr:row>188</xdr:row>
      <xdr:rowOff>0</xdr:rowOff>
    </xdr:to>
    <xdr:graphicFrame macro="">
      <xdr:nvGraphicFramePr>
        <xdr:cNvPr id="60" name="graf 27">
          <a:extLst>
            <a:ext uri="{FF2B5EF4-FFF2-40B4-BE49-F238E27FC236}">
              <a16:creationId xmlns:a16="http://schemas.microsoft.com/office/drawing/2014/main" id="{D6674C98-CCBF-40A9-A0B8-E6C020C6B1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2</xdr:col>
      <xdr:colOff>85725</xdr:colOff>
      <xdr:row>192</xdr:row>
      <xdr:rowOff>0</xdr:rowOff>
    </xdr:from>
    <xdr:to>
      <xdr:col>3</xdr:col>
      <xdr:colOff>0</xdr:colOff>
      <xdr:row>192</xdr:row>
      <xdr:rowOff>0</xdr:rowOff>
    </xdr:to>
    <xdr:graphicFrame macro="">
      <xdr:nvGraphicFramePr>
        <xdr:cNvPr id="61" name="graf 28">
          <a:extLst>
            <a:ext uri="{FF2B5EF4-FFF2-40B4-BE49-F238E27FC236}">
              <a16:creationId xmlns:a16="http://schemas.microsoft.com/office/drawing/2014/main" id="{CE4876DD-E60D-4702-BFA0-A5CF97B532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1</xdr:col>
      <xdr:colOff>85725</xdr:colOff>
      <xdr:row>211</xdr:row>
      <xdr:rowOff>0</xdr:rowOff>
    </xdr:from>
    <xdr:to>
      <xdr:col>3</xdr:col>
      <xdr:colOff>0</xdr:colOff>
      <xdr:row>211</xdr:row>
      <xdr:rowOff>0</xdr:rowOff>
    </xdr:to>
    <xdr:graphicFrame macro="">
      <xdr:nvGraphicFramePr>
        <xdr:cNvPr id="62" name="graf 29">
          <a:extLst>
            <a:ext uri="{FF2B5EF4-FFF2-40B4-BE49-F238E27FC236}">
              <a16:creationId xmlns:a16="http://schemas.microsoft.com/office/drawing/2014/main" id="{78746BD6-A11A-4C95-8AE1-62EE6A130E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85725</xdr:colOff>
      <xdr:row>223</xdr:row>
      <xdr:rowOff>0</xdr:rowOff>
    </xdr:from>
    <xdr:to>
      <xdr:col>3</xdr:col>
      <xdr:colOff>0</xdr:colOff>
      <xdr:row>223</xdr:row>
      <xdr:rowOff>0</xdr:rowOff>
    </xdr:to>
    <xdr:graphicFrame macro="">
      <xdr:nvGraphicFramePr>
        <xdr:cNvPr id="63" name="graf 30">
          <a:extLst>
            <a:ext uri="{FF2B5EF4-FFF2-40B4-BE49-F238E27FC236}">
              <a16:creationId xmlns:a16="http://schemas.microsoft.com/office/drawing/2014/main" id="{BDC72111-87F3-429F-A63D-EEAE02085B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2</xdr:col>
      <xdr:colOff>85725</xdr:colOff>
      <xdr:row>188</xdr:row>
      <xdr:rowOff>0</xdr:rowOff>
    </xdr:from>
    <xdr:to>
      <xdr:col>3</xdr:col>
      <xdr:colOff>0</xdr:colOff>
      <xdr:row>188</xdr:row>
      <xdr:rowOff>0</xdr:rowOff>
    </xdr:to>
    <xdr:graphicFrame macro="">
      <xdr:nvGraphicFramePr>
        <xdr:cNvPr id="64" name="graf 31">
          <a:extLst>
            <a:ext uri="{FF2B5EF4-FFF2-40B4-BE49-F238E27FC236}">
              <a16:creationId xmlns:a16="http://schemas.microsoft.com/office/drawing/2014/main" id="{D48628BC-E7D4-4258-844C-F1D8FACCA7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2</xdr:col>
      <xdr:colOff>85725</xdr:colOff>
      <xdr:row>192</xdr:row>
      <xdr:rowOff>0</xdr:rowOff>
    </xdr:from>
    <xdr:to>
      <xdr:col>3</xdr:col>
      <xdr:colOff>0</xdr:colOff>
      <xdr:row>192</xdr:row>
      <xdr:rowOff>0</xdr:rowOff>
    </xdr:to>
    <xdr:graphicFrame macro="">
      <xdr:nvGraphicFramePr>
        <xdr:cNvPr id="65" name="graf 32">
          <a:extLst>
            <a:ext uri="{FF2B5EF4-FFF2-40B4-BE49-F238E27FC236}">
              <a16:creationId xmlns:a16="http://schemas.microsoft.com/office/drawing/2014/main" id="{A91E57D9-AC7F-4651-A8F7-03A869B0B7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0.38829</cdr:x>
      <cdr:y>0.12476</cdr:y>
    </cdr:from>
    <cdr:to>
      <cdr:x>0.38829</cdr:x>
      <cdr:y>0.3821</cdr:y>
    </cdr:to>
    <cdr:sp macro="" textlink="">
      <cdr:nvSpPr>
        <cdr:cNvPr id="16385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03681" y="94675"/>
          <a:ext cx="0" cy="1887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0.39305</cdr:x>
      <cdr:y>0.10953</cdr:y>
    </cdr:from>
    <cdr:to>
      <cdr:x>0.39305</cdr:x>
      <cdr:y>0.33185</cdr:y>
    </cdr:to>
    <cdr:sp macro="" textlink="">
      <cdr:nvSpPr>
        <cdr:cNvPr id="17409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25469" y="83506"/>
          <a:ext cx="0" cy="1630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18433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19457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0.38932</cdr:x>
      <cdr:y>0.12476</cdr:y>
    </cdr:from>
    <cdr:to>
      <cdr:x>0.38932</cdr:x>
      <cdr:y>0.3821</cdr:y>
    </cdr:to>
    <cdr:sp macro="" textlink="">
      <cdr:nvSpPr>
        <cdr:cNvPr id="46081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08765" y="94675"/>
          <a:ext cx="0" cy="1887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0.39464</cdr:x>
      <cdr:y>0.10953</cdr:y>
    </cdr:from>
    <cdr:to>
      <cdr:x>0.39464</cdr:x>
      <cdr:y>0.33185</cdr:y>
    </cdr:to>
    <cdr:sp macro="" textlink="">
      <cdr:nvSpPr>
        <cdr:cNvPr id="47105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32732" y="83506"/>
          <a:ext cx="0" cy="1630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0.33765</cdr:x>
      <cdr:y>0.23374</cdr:y>
    </cdr:from>
    <cdr:to>
      <cdr:x>0.33765</cdr:x>
      <cdr:y>0.30248</cdr:y>
    </cdr:to>
    <cdr:sp macro="" textlink="">
      <cdr:nvSpPr>
        <cdr:cNvPr id="48129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4390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0.33765</cdr:x>
      <cdr:y>0.23374</cdr:y>
    </cdr:from>
    <cdr:to>
      <cdr:x>0.33765</cdr:x>
      <cdr:y>0.30248</cdr:y>
    </cdr:to>
    <cdr:sp macro="" textlink="">
      <cdr:nvSpPr>
        <cdr:cNvPr id="49153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4390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0.38829</cdr:x>
      <cdr:y>0.12476</cdr:y>
    </cdr:from>
    <cdr:to>
      <cdr:x>0.38829</cdr:x>
      <cdr:y>0.3821</cdr:y>
    </cdr:to>
    <cdr:sp macro="" textlink="">
      <cdr:nvSpPr>
        <cdr:cNvPr id="50177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03681" y="94675"/>
          <a:ext cx="0" cy="1887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0.39305</cdr:x>
      <cdr:y>0.10953</cdr:y>
    </cdr:from>
    <cdr:to>
      <cdr:x>0.39305</cdr:x>
      <cdr:y>0.33185</cdr:y>
    </cdr:to>
    <cdr:sp macro="" textlink="">
      <cdr:nvSpPr>
        <cdr:cNvPr id="51201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25469" y="83506"/>
          <a:ext cx="0" cy="1630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52225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53249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0.38932</cdr:x>
      <cdr:y>0.12476</cdr:y>
    </cdr:from>
    <cdr:to>
      <cdr:x>0.38932</cdr:x>
      <cdr:y>0.3821</cdr:y>
    </cdr:to>
    <cdr:sp macro="" textlink="">
      <cdr:nvSpPr>
        <cdr:cNvPr id="103425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08765" y="94675"/>
          <a:ext cx="0" cy="1887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0.39464</cdr:x>
      <cdr:y>0.10953</cdr:y>
    </cdr:from>
    <cdr:to>
      <cdr:x>0.39464</cdr:x>
      <cdr:y>0.33185</cdr:y>
    </cdr:to>
    <cdr:sp macro="" textlink="">
      <cdr:nvSpPr>
        <cdr:cNvPr id="104449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32732" y="83506"/>
          <a:ext cx="0" cy="1630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0.33765</cdr:x>
      <cdr:y>0.23374</cdr:y>
    </cdr:from>
    <cdr:to>
      <cdr:x>0.33765</cdr:x>
      <cdr:y>0.30248</cdr:y>
    </cdr:to>
    <cdr:sp macro="" textlink="">
      <cdr:nvSpPr>
        <cdr:cNvPr id="105473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4390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0.33765</cdr:x>
      <cdr:y>0.23374</cdr:y>
    </cdr:from>
    <cdr:to>
      <cdr:x>0.33765</cdr:x>
      <cdr:y>0.30248</cdr:y>
    </cdr:to>
    <cdr:sp macro="" textlink="">
      <cdr:nvSpPr>
        <cdr:cNvPr id="106497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4390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0.38829</cdr:x>
      <cdr:y>0.12476</cdr:y>
    </cdr:from>
    <cdr:to>
      <cdr:x>0.38829</cdr:x>
      <cdr:y>0.3821</cdr:y>
    </cdr:to>
    <cdr:sp macro="" textlink="">
      <cdr:nvSpPr>
        <cdr:cNvPr id="107521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03681" y="94675"/>
          <a:ext cx="0" cy="1887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0.39305</cdr:x>
      <cdr:y>0.10953</cdr:y>
    </cdr:from>
    <cdr:to>
      <cdr:x>0.39305</cdr:x>
      <cdr:y>0.33185</cdr:y>
    </cdr:to>
    <cdr:sp macro="" textlink="">
      <cdr:nvSpPr>
        <cdr:cNvPr id="108545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25469" y="83506"/>
          <a:ext cx="0" cy="1630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109569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110593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0.38829</cdr:x>
      <cdr:y>0.12476</cdr:y>
    </cdr:from>
    <cdr:to>
      <cdr:x>0.38829</cdr:x>
      <cdr:y>0.3821</cdr:y>
    </cdr:to>
    <cdr:sp macro="" textlink="">
      <cdr:nvSpPr>
        <cdr:cNvPr id="111617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03681" y="94675"/>
          <a:ext cx="0" cy="1887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0.39305</cdr:x>
      <cdr:y>0.10953</cdr:y>
    </cdr:from>
    <cdr:to>
      <cdr:x>0.39305</cdr:x>
      <cdr:y>0.33185</cdr:y>
    </cdr:to>
    <cdr:sp macro="" textlink="">
      <cdr:nvSpPr>
        <cdr:cNvPr id="112641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25469" y="83506"/>
          <a:ext cx="0" cy="1630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113665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114689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0.38932</cdr:x>
      <cdr:y>0.12476</cdr:y>
    </cdr:from>
    <cdr:to>
      <cdr:x>0.38932</cdr:x>
      <cdr:y>0.3821</cdr:y>
    </cdr:to>
    <cdr:sp macro="" textlink="">
      <cdr:nvSpPr>
        <cdr:cNvPr id="115713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08765" y="94675"/>
          <a:ext cx="0" cy="1887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0.39464</cdr:x>
      <cdr:y>0.10953</cdr:y>
    </cdr:from>
    <cdr:to>
      <cdr:x>0.39464</cdr:x>
      <cdr:y>0.33185</cdr:y>
    </cdr:to>
    <cdr:sp macro="" textlink="">
      <cdr:nvSpPr>
        <cdr:cNvPr id="116737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32732" y="83506"/>
          <a:ext cx="0" cy="1630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0.33765</cdr:x>
      <cdr:y>0.23374</cdr:y>
    </cdr:from>
    <cdr:to>
      <cdr:x>0.33765</cdr:x>
      <cdr:y>0.30248</cdr:y>
    </cdr:to>
    <cdr:sp macro="" textlink="">
      <cdr:nvSpPr>
        <cdr:cNvPr id="117761" name="Line 102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4390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0.33765</cdr:x>
      <cdr:y>0.23374</cdr:y>
    </cdr:from>
    <cdr:to>
      <cdr:x>0.33765</cdr:x>
      <cdr:y>0.30248</cdr:y>
    </cdr:to>
    <cdr:sp macro="" textlink="">
      <cdr:nvSpPr>
        <cdr:cNvPr id="118785" name="Line 102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4390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0.38829</cdr:x>
      <cdr:y>0.12476</cdr:y>
    </cdr:from>
    <cdr:to>
      <cdr:x>0.38829</cdr:x>
      <cdr:y>0.3821</cdr:y>
    </cdr:to>
    <cdr:sp macro="" textlink="">
      <cdr:nvSpPr>
        <cdr:cNvPr id="119809" name="Line 102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03681" y="94675"/>
          <a:ext cx="0" cy="1887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0.39305</cdr:x>
      <cdr:y>0.10953</cdr:y>
    </cdr:from>
    <cdr:to>
      <cdr:x>0.39305</cdr:x>
      <cdr:y>0.33185</cdr:y>
    </cdr:to>
    <cdr:sp macro="" textlink="">
      <cdr:nvSpPr>
        <cdr:cNvPr id="120833" name="Line 102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25469" y="83506"/>
          <a:ext cx="0" cy="1630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121857" name="Line 102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122881" name="Line 102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0.38829</cdr:x>
      <cdr:y>0.12476</cdr:y>
    </cdr:from>
    <cdr:to>
      <cdr:x>0.38829</cdr:x>
      <cdr:y>0.3821</cdr:y>
    </cdr:to>
    <cdr:sp macro="" textlink="">
      <cdr:nvSpPr>
        <cdr:cNvPr id="16385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03681" y="94675"/>
          <a:ext cx="0" cy="1887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0.39305</cdr:x>
      <cdr:y>0.10953</cdr:y>
    </cdr:from>
    <cdr:to>
      <cdr:x>0.39305</cdr:x>
      <cdr:y>0.33185</cdr:y>
    </cdr:to>
    <cdr:sp macro="" textlink="">
      <cdr:nvSpPr>
        <cdr:cNvPr id="17409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25469" y="83506"/>
          <a:ext cx="0" cy="1630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18433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19457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0.38932</cdr:x>
      <cdr:y>0.12476</cdr:y>
    </cdr:from>
    <cdr:to>
      <cdr:x>0.38932</cdr:x>
      <cdr:y>0.3821</cdr:y>
    </cdr:to>
    <cdr:sp macro="" textlink="">
      <cdr:nvSpPr>
        <cdr:cNvPr id="46081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08765" y="94675"/>
          <a:ext cx="0" cy="1887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0.39464</cdr:x>
      <cdr:y>0.10953</cdr:y>
    </cdr:from>
    <cdr:to>
      <cdr:x>0.39464</cdr:x>
      <cdr:y>0.33185</cdr:y>
    </cdr:to>
    <cdr:sp macro="" textlink="">
      <cdr:nvSpPr>
        <cdr:cNvPr id="47105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32732" y="83506"/>
          <a:ext cx="0" cy="1630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0.33765</cdr:x>
      <cdr:y>0.23374</cdr:y>
    </cdr:from>
    <cdr:to>
      <cdr:x>0.33765</cdr:x>
      <cdr:y>0.30248</cdr:y>
    </cdr:to>
    <cdr:sp macro="" textlink="">
      <cdr:nvSpPr>
        <cdr:cNvPr id="48129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4390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0.33765</cdr:x>
      <cdr:y>0.23374</cdr:y>
    </cdr:from>
    <cdr:to>
      <cdr:x>0.33765</cdr:x>
      <cdr:y>0.30248</cdr:y>
    </cdr:to>
    <cdr:sp macro="" textlink="">
      <cdr:nvSpPr>
        <cdr:cNvPr id="49153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4390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0.38829</cdr:x>
      <cdr:y>0.12476</cdr:y>
    </cdr:from>
    <cdr:to>
      <cdr:x>0.38829</cdr:x>
      <cdr:y>0.3821</cdr:y>
    </cdr:to>
    <cdr:sp macro="" textlink="">
      <cdr:nvSpPr>
        <cdr:cNvPr id="50177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03681" y="94675"/>
          <a:ext cx="0" cy="1887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0.39305</cdr:x>
      <cdr:y>0.10953</cdr:y>
    </cdr:from>
    <cdr:to>
      <cdr:x>0.39305</cdr:x>
      <cdr:y>0.33185</cdr:y>
    </cdr:to>
    <cdr:sp macro="" textlink="">
      <cdr:nvSpPr>
        <cdr:cNvPr id="51201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25469" y="83506"/>
          <a:ext cx="0" cy="1630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52225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53249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0.38932</cdr:x>
      <cdr:y>0.12476</cdr:y>
    </cdr:from>
    <cdr:to>
      <cdr:x>0.38932</cdr:x>
      <cdr:y>0.3821</cdr:y>
    </cdr:to>
    <cdr:sp macro="" textlink="">
      <cdr:nvSpPr>
        <cdr:cNvPr id="103425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08765" y="94675"/>
          <a:ext cx="0" cy="1887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0.39464</cdr:x>
      <cdr:y>0.10953</cdr:y>
    </cdr:from>
    <cdr:to>
      <cdr:x>0.39464</cdr:x>
      <cdr:y>0.33185</cdr:y>
    </cdr:to>
    <cdr:sp macro="" textlink="">
      <cdr:nvSpPr>
        <cdr:cNvPr id="104449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32732" y="83506"/>
          <a:ext cx="0" cy="1630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0.33765</cdr:x>
      <cdr:y>0.23374</cdr:y>
    </cdr:from>
    <cdr:to>
      <cdr:x>0.33765</cdr:x>
      <cdr:y>0.30248</cdr:y>
    </cdr:to>
    <cdr:sp macro="" textlink="">
      <cdr:nvSpPr>
        <cdr:cNvPr id="105473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4390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0.33765</cdr:x>
      <cdr:y>0.23374</cdr:y>
    </cdr:from>
    <cdr:to>
      <cdr:x>0.33765</cdr:x>
      <cdr:y>0.30248</cdr:y>
    </cdr:to>
    <cdr:sp macro="" textlink="">
      <cdr:nvSpPr>
        <cdr:cNvPr id="106497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4390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0.38829</cdr:x>
      <cdr:y>0.12476</cdr:y>
    </cdr:from>
    <cdr:to>
      <cdr:x>0.38829</cdr:x>
      <cdr:y>0.3821</cdr:y>
    </cdr:to>
    <cdr:sp macro="" textlink="">
      <cdr:nvSpPr>
        <cdr:cNvPr id="107521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03681" y="94675"/>
          <a:ext cx="0" cy="1887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0.39305</cdr:x>
      <cdr:y>0.10953</cdr:y>
    </cdr:from>
    <cdr:to>
      <cdr:x>0.39305</cdr:x>
      <cdr:y>0.33185</cdr:y>
    </cdr:to>
    <cdr:sp macro="" textlink="">
      <cdr:nvSpPr>
        <cdr:cNvPr id="108545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25469" y="83506"/>
          <a:ext cx="0" cy="1630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109569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110593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0.38829</cdr:x>
      <cdr:y>0.12476</cdr:y>
    </cdr:from>
    <cdr:to>
      <cdr:x>0.38829</cdr:x>
      <cdr:y>0.3821</cdr:y>
    </cdr:to>
    <cdr:sp macro="" textlink="">
      <cdr:nvSpPr>
        <cdr:cNvPr id="111617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03681" y="94675"/>
          <a:ext cx="0" cy="1887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0.39305</cdr:x>
      <cdr:y>0.10953</cdr:y>
    </cdr:from>
    <cdr:to>
      <cdr:x>0.39305</cdr:x>
      <cdr:y>0.33185</cdr:y>
    </cdr:to>
    <cdr:sp macro="" textlink="">
      <cdr:nvSpPr>
        <cdr:cNvPr id="112641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25469" y="83506"/>
          <a:ext cx="0" cy="1630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113665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114689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0.38932</cdr:x>
      <cdr:y>0.12476</cdr:y>
    </cdr:from>
    <cdr:to>
      <cdr:x>0.38932</cdr:x>
      <cdr:y>0.3821</cdr:y>
    </cdr:to>
    <cdr:sp macro="" textlink="">
      <cdr:nvSpPr>
        <cdr:cNvPr id="115713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08765" y="94675"/>
          <a:ext cx="0" cy="1887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0.39464</cdr:x>
      <cdr:y>0.10953</cdr:y>
    </cdr:from>
    <cdr:to>
      <cdr:x>0.39464</cdr:x>
      <cdr:y>0.33185</cdr:y>
    </cdr:to>
    <cdr:sp macro="" textlink="">
      <cdr:nvSpPr>
        <cdr:cNvPr id="116737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32732" y="83506"/>
          <a:ext cx="0" cy="1630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0.33765</cdr:x>
      <cdr:y>0.23374</cdr:y>
    </cdr:from>
    <cdr:to>
      <cdr:x>0.33765</cdr:x>
      <cdr:y>0.30248</cdr:y>
    </cdr:to>
    <cdr:sp macro="" textlink="">
      <cdr:nvSpPr>
        <cdr:cNvPr id="117761" name="Line 102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4390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0.33765</cdr:x>
      <cdr:y>0.23374</cdr:y>
    </cdr:from>
    <cdr:to>
      <cdr:x>0.33765</cdr:x>
      <cdr:y>0.30248</cdr:y>
    </cdr:to>
    <cdr:sp macro="" textlink="">
      <cdr:nvSpPr>
        <cdr:cNvPr id="118785" name="Line 102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4390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0.38829</cdr:x>
      <cdr:y>0.12476</cdr:y>
    </cdr:from>
    <cdr:to>
      <cdr:x>0.38829</cdr:x>
      <cdr:y>0.3821</cdr:y>
    </cdr:to>
    <cdr:sp macro="" textlink="">
      <cdr:nvSpPr>
        <cdr:cNvPr id="119809" name="Line 102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03681" y="94675"/>
          <a:ext cx="0" cy="18874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0.39305</cdr:x>
      <cdr:y>0.10953</cdr:y>
    </cdr:from>
    <cdr:to>
      <cdr:x>0.39305</cdr:x>
      <cdr:y>0.33185</cdr:y>
    </cdr:to>
    <cdr:sp macro="" textlink="">
      <cdr:nvSpPr>
        <cdr:cNvPr id="120833" name="Line 102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025469" y="83506"/>
          <a:ext cx="0" cy="1630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121857" name="Line 102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0.33861</cdr:x>
      <cdr:y>0.23374</cdr:y>
    </cdr:from>
    <cdr:to>
      <cdr:x>0.33861</cdr:x>
      <cdr:y>0.30248</cdr:y>
    </cdr:to>
    <cdr:sp macro="" textlink="">
      <cdr:nvSpPr>
        <cdr:cNvPr id="122881" name="Line 102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86905" y="174606"/>
          <a:ext cx="0" cy="5041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1"/>
  <sheetViews>
    <sheetView tabSelected="1" workbookViewId="0"/>
  </sheetViews>
  <sheetFormatPr defaultRowHeight="12.75" x14ac:dyDescent="0.25"/>
  <cols>
    <col min="1" max="1" width="124.28515625" style="2" customWidth="1"/>
    <col min="2" max="256" width="9.140625" style="2"/>
    <col min="257" max="257" width="124.28515625" style="2" customWidth="1"/>
    <col min="258" max="512" width="9.140625" style="2"/>
    <col min="513" max="513" width="124.28515625" style="2" customWidth="1"/>
    <col min="514" max="768" width="9.140625" style="2"/>
    <col min="769" max="769" width="124.28515625" style="2" customWidth="1"/>
    <col min="770" max="1024" width="9.140625" style="2"/>
    <col min="1025" max="1025" width="124.28515625" style="2" customWidth="1"/>
    <col min="1026" max="1280" width="9.140625" style="2"/>
    <col min="1281" max="1281" width="124.28515625" style="2" customWidth="1"/>
    <col min="1282" max="1536" width="9.140625" style="2"/>
    <col min="1537" max="1537" width="124.28515625" style="2" customWidth="1"/>
    <col min="1538" max="1792" width="9.140625" style="2"/>
    <col min="1793" max="1793" width="124.28515625" style="2" customWidth="1"/>
    <col min="1794" max="2048" width="9.140625" style="2"/>
    <col min="2049" max="2049" width="124.28515625" style="2" customWidth="1"/>
    <col min="2050" max="2304" width="9.140625" style="2"/>
    <col min="2305" max="2305" width="124.28515625" style="2" customWidth="1"/>
    <col min="2306" max="2560" width="9.140625" style="2"/>
    <col min="2561" max="2561" width="124.28515625" style="2" customWidth="1"/>
    <col min="2562" max="2816" width="9.140625" style="2"/>
    <col min="2817" max="2817" width="124.28515625" style="2" customWidth="1"/>
    <col min="2818" max="3072" width="9.140625" style="2"/>
    <col min="3073" max="3073" width="124.28515625" style="2" customWidth="1"/>
    <col min="3074" max="3328" width="9.140625" style="2"/>
    <col min="3329" max="3329" width="124.28515625" style="2" customWidth="1"/>
    <col min="3330" max="3584" width="9.140625" style="2"/>
    <col min="3585" max="3585" width="124.28515625" style="2" customWidth="1"/>
    <col min="3586" max="3840" width="9.140625" style="2"/>
    <col min="3841" max="3841" width="124.28515625" style="2" customWidth="1"/>
    <col min="3842" max="4096" width="9.140625" style="2"/>
    <col min="4097" max="4097" width="124.28515625" style="2" customWidth="1"/>
    <col min="4098" max="4352" width="9.140625" style="2"/>
    <col min="4353" max="4353" width="124.28515625" style="2" customWidth="1"/>
    <col min="4354" max="4608" width="9.140625" style="2"/>
    <col min="4609" max="4609" width="124.28515625" style="2" customWidth="1"/>
    <col min="4610" max="4864" width="9.140625" style="2"/>
    <col min="4865" max="4865" width="124.28515625" style="2" customWidth="1"/>
    <col min="4866" max="5120" width="9.140625" style="2"/>
    <col min="5121" max="5121" width="124.28515625" style="2" customWidth="1"/>
    <col min="5122" max="5376" width="9.140625" style="2"/>
    <col min="5377" max="5377" width="124.28515625" style="2" customWidth="1"/>
    <col min="5378" max="5632" width="9.140625" style="2"/>
    <col min="5633" max="5633" width="124.28515625" style="2" customWidth="1"/>
    <col min="5634" max="5888" width="9.140625" style="2"/>
    <col min="5889" max="5889" width="124.28515625" style="2" customWidth="1"/>
    <col min="5890" max="6144" width="9.140625" style="2"/>
    <col min="6145" max="6145" width="124.28515625" style="2" customWidth="1"/>
    <col min="6146" max="6400" width="9.140625" style="2"/>
    <col min="6401" max="6401" width="124.28515625" style="2" customWidth="1"/>
    <col min="6402" max="6656" width="9.140625" style="2"/>
    <col min="6657" max="6657" width="124.28515625" style="2" customWidth="1"/>
    <col min="6658" max="6912" width="9.140625" style="2"/>
    <col min="6913" max="6913" width="124.28515625" style="2" customWidth="1"/>
    <col min="6914" max="7168" width="9.140625" style="2"/>
    <col min="7169" max="7169" width="124.28515625" style="2" customWidth="1"/>
    <col min="7170" max="7424" width="9.140625" style="2"/>
    <col min="7425" max="7425" width="124.28515625" style="2" customWidth="1"/>
    <col min="7426" max="7680" width="9.140625" style="2"/>
    <col min="7681" max="7681" width="124.28515625" style="2" customWidth="1"/>
    <col min="7682" max="7936" width="9.140625" style="2"/>
    <col min="7937" max="7937" width="124.28515625" style="2" customWidth="1"/>
    <col min="7938" max="8192" width="9.140625" style="2"/>
    <col min="8193" max="8193" width="124.28515625" style="2" customWidth="1"/>
    <col min="8194" max="8448" width="9.140625" style="2"/>
    <col min="8449" max="8449" width="124.28515625" style="2" customWidth="1"/>
    <col min="8450" max="8704" width="9.140625" style="2"/>
    <col min="8705" max="8705" width="124.28515625" style="2" customWidth="1"/>
    <col min="8706" max="8960" width="9.140625" style="2"/>
    <col min="8961" max="8961" width="124.28515625" style="2" customWidth="1"/>
    <col min="8962" max="9216" width="9.140625" style="2"/>
    <col min="9217" max="9217" width="124.28515625" style="2" customWidth="1"/>
    <col min="9218" max="9472" width="9.140625" style="2"/>
    <col min="9473" max="9473" width="124.28515625" style="2" customWidth="1"/>
    <col min="9474" max="9728" width="9.140625" style="2"/>
    <col min="9729" max="9729" width="124.28515625" style="2" customWidth="1"/>
    <col min="9730" max="9984" width="9.140625" style="2"/>
    <col min="9985" max="9985" width="124.28515625" style="2" customWidth="1"/>
    <col min="9986" max="10240" width="9.140625" style="2"/>
    <col min="10241" max="10241" width="124.28515625" style="2" customWidth="1"/>
    <col min="10242" max="10496" width="9.140625" style="2"/>
    <col min="10497" max="10497" width="124.28515625" style="2" customWidth="1"/>
    <col min="10498" max="10752" width="9.140625" style="2"/>
    <col min="10753" max="10753" width="124.28515625" style="2" customWidth="1"/>
    <col min="10754" max="11008" width="9.140625" style="2"/>
    <col min="11009" max="11009" width="124.28515625" style="2" customWidth="1"/>
    <col min="11010" max="11264" width="9.140625" style="2"/>
    <col min="11265" max="11265" width="124.28515625" style="2" customWidth="1"/>
    <col min="11266" max="11520" width="9.140625" style="2"/>
    <col min="11521" max="11521" width="124.28515625" style="2" customWidth="1"/>
    <col min="11522" max="11776" width="9.140625" style="2"/>
    <col min="11777" max="11777" width="124.28515625" style="2" customWidth="1"/>
    <col min="11778" max="12032" width="9.140625" style="2"/>
    <col min="12033" max="12033" width="124.28515625" style="2" customWidth="1"/>
    <col min="12034" max="12288" width="9.140625" style="2"/>
    <col min="12289" max="12289" width="124.28515625" style="2" customWidth="1"/>
    <col min="12290" max="12544" width="9.140625" style="2"/>
    <col min="12545" max="12545" width="124.28515625" style="2" customWidth="1"/>
    <col min="12546" max="12800" width="9.140625" style="2"/>
    <col min="12801" max="12801" width="124.28515625" style="2" customWidth="1"/>
    <col min="12802" max="13056" width="9.140625" style="2"/>
    <col min="13057" max="13057" width="124.28515625" style="2" customWidth="1"/>
    <col min="13058" max="13312" width="9.140625" style="2"/>
    <col min="13313" max="13313" width="124.28515625" style="2" customWidth="1"/>
    <col min="13314" max="13568" width="9.140625" style="2"/>
    <col min="13569" max="13569" width="124.28515625" style="2" customWidth="1"/>
    <col min="13570" max="13824" width="9.140625" style="2"/>
    <col min="13825" max="13825" width="124.28515625" style="2" customWidth="1"/>
    <col min="13826" max="14080" width="9.140625" style="2"/>
    <col min="14081" max="14081" width="124.28515625" style="2" customWidth="1"/>
    <col min="14082" max="14336" width="9.140625" style="2"/>
    <col min="14337" max="14337" width="124.28515625" style="2" customWidth="1"/>
    <col min="14338" max="14592" width="9.140625" style="2"/>
    <col min="14593" max="14593" width="124.28515625" style="2" customWidth="1"/>
    <col min="14594" max="14848" width="9.140625" style="2"/>
    <col min="14849" max="14849" width="124.28515625" style="2" customWidth="1"/>
    <col min="14850" max="15104" width="9.140625" style="2"/>
    <col min="15105" max="15105" width="124.28515625" style="2" customWidth="1"/>
    <col min="15106" max="15360" width="9.140625" style="2"/>
    <col min="15361" max="15361" width="124.28515625" style="2" customWidth="1"/>
    <col min="15362" max="15616" width="9.140625" style="2"/>
    <col min="15617" max="15617" width="124.28515625" style="2" customWidth="1"/>
    <col min="15618" max="15872" width="9.140625" style="2"/>
    <col min="15873" max="15873" width="124.28515625" style="2" customWidth="1"/>
    <col min="15874" max="16128" width="9.140625" style="2"/>
    <col min="16129" max="16129" width="124.28515625" style="2" customWidth="1"/>
    <col min="16130" max="16384" width="9.140625" style="2"/>
  </cols>
  <sheetData>
    <row r="1" spans="1:1" x14ac:dyDescent="0.25">
      <c r="A1" s="1" t="s">
        <v>0</v>
      </c>
    </row>
    <row r="2" spans="1:1" x14ac:dyDescent="0.25">
      <c r="A2" s="1"/>
    </row>
    <row r="3" spans="1:1" ht="15" customHeight="1" x14ac:dyDescent="0.25">
      <c r="A3" s="2" t="str">
        <f>'vš_vše CZ'!A1</f>
        <v>Počet podaných přihlášek, přihlášených, přijatých a zapsaných na VŠ v letech 1999/00–2025/26 (v tis.)</v>
      </c>
    </row>
    <row r="4" spans="1:1" ht="30" customHeight="1" x14ac:dyDescent="0.25">
      <c r="A4" s="3" t="str">
        <f>'vš_vše CZ'!A12</f>
        <v>Počet přihlášených a zapsaných na VŠ ve vztahu k populaci 18/19letých a k počtu maturantů
(v denní formě vzdělávání) v letech 1999/00–2025/26 (v tis.)</v>
      </c>
    </row>
    <row r="5" spans="1:1" ht="30" customHeight="1" x14ac:dyDescent="0.25">
      <c r="A5" s="3" t="str">
        <f>'vš_vše CZ'!A26</f>
        <v>Počet přihlášených a zapsaných do prezenční formy studia VŠ ve vztahu k populaci 18/19letých a k počtu maturantů
(v denní formě vzdělávání) v letech 1999/00–2025/26 (v tis.)</v>
      </c>
    </row>
    <row r="6" spans="1:1" ht="15" customHeight="1" x14ac:dyDescent="0.25">
      <c r="A6" s="2" t="str">
        <f>'vš_vše CZ'!A40</f>
        <v>Počet podaných přihlášek, přihlášených, přijatých a zapsaných na VŠ v letech 1999/00–2025/26</v>
      </c>
    </row>
    <row r="7" spans="1:1" ht="15" customHeight="1" x14ac:dyDescent="0.25">
      <c r="A7" s="2" t="str">
        <f>'vš_vše CZ'!A63</f>
        <v>Uchazeči podle počtu podaných přihlášek 1999/00–2025/26</v>
      </c>
    </row>
    <row r="8" spans="1:1" ht="15" customHeight="1" x14ac:dyDescent="0.25">
      <c r="A8" s="2" t="str">
        <f>'vš_vše CZ'!A95</f>
        <v>Struktura uchazečů podle počtu podaných přihlášek 1999/00–2025/26</v>
      </c>
    </row>
    <row r="9" spans="1:1" ht="15" customHeight="1" x14ac:dyDescent="0.25">
      <c r="A9" s="2" t="str">
        <f>'vš_druh studia '!A1:M1</f>
        <v>Základní přehled o přijímacím řízení na vysoké školy podle druhu studia v letech 2001/02–2025/26</v>
      </c>
    </row>
    <row r="10" spans="1:1" ht="15" customHeight="1" x14ac:dyDescent="0.25">
      <c r="A10" s="2" t="str">
        <f>vš_programy!A1</f>
        <v>Počet přihlášek, přihlášených a přijatých ke studiu na VŠ podle skupin studijních programů v letech 1999/00–2017/18</v>
      </c>
    </row>
    <row r="11" spans="1:1" ht="15" customHeight="1" x14ac:dyDescent="0.25">
      <c r="A11" s="2" t="str">
        <f>'vš_věk x dfst'!A1</f>
        <v>Struktura přihlášených,  přijatých a zapsaných na VŠ podle věku a formy studia pro roky 1999/00–2025/2026</v>
      </c>
    </row>
    <row r="12" spans="1:1" ht="15" customHeight="1" x14ac:dyDescent="0.25">
      <c r="A12" s="4" t="str">
        <f>vš_věk!A1</f>
        <v>Struktura přihlášených uchazečů o prezenční studium na VŠ podle věku v letech 1999/00–2025/26</v>
      </c>
    </row>
    <row r="13" spans="1:1" ht="15" customHeight="1" x14ac:dyDescent="0.25">
      <c r="A13" s="4" t="str">
        <f>vš_věk!A19</f>
        <v>Uchazeči o prezenční studium na VŠ podle věku v letech 1999/00–2025/26</v>
      </c>
    </row>
    <row r="14" spans="1:1" ht="15" customHeight="1" x14ac:dyDescent="0.25">
      <c r="A14" s="2" t="str">
        <f>vš_sex!A1</f>
        <v>Počet přihlášek, přihlášených, přijetí, přijatých, zapsání a zapsaných podle pohlaví v letech 1999/00–2025/26</v>
      </c>
    </row>
    <row r="15" spans="1:1" ht="15" customHeight="1" x14ac:dyDescent="0.25">
      <c r="A15" s="2" t="str">
        <f>vš_fakulty_tisk!A1</f>
        <v>Přijímací řízení na VŠ – podle fakult v letech 2010/11–2025/26</v>
      </c>
    </row>
    <row r="59" spans="1:1" x14ac:dyDescent="0.25">
      <c r="A59" s="2" t="s">
        <v>1</v>
      </c>
    </row>
    <row r="60" spans="1:1" x14ac:dyDescent="0.25">
      <c r="A60" s="2" t="s">
        <v>2</v>
      </c>
    </row>
    <row r="61" spans="1:1" x14ac:dyDescent="0.25">
      <c r="A61" s="2" t="s">
        <v>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26"/>
  <sheetViews>
    <sheetView workbookViewId="0"/>
  </sheetViews>
  <sheetFormatPr defaultRowHeight="12.75" x14ac:dyDescent="0.2"/>
  <cols>
    <col min="1" max="1" width="40.7109375" style="6" customWidth="1"/>
    <col min="2" max="12" width="7.7109375" style="6" customWidth="1"/>
    <col min="13" max="17" width="9" style="6" customWidth="1"/>
    <col min="18" max="19" width="10.7109375" style="6" customWidth="1"/>
    <col min="20" max="21" width="9" style="6" customWidth="1"/>
    <col min="22" max="22" width="9.28515625" style="6" customWidth="1"/>
    <col min="23" max="24" width="9.140625" style="6" customWidth="1"/>
    <col min="25" max="38" width="7.85546875" style="6" customWidth="1"/>
    <col min="39" max="39" width="9.140625" style="6"/>
    <col min="40" max="40" width="4.140625" style="6" customWidth="1"/>
    <col min="41" max="256" width="9.140625" style="6"/>
    <col min="257" max="257" width="34.28515625" style="6" customWidth="1"/>
    <col min="258" max="268" width="7.7109375" style="6" customWidth="1"/>
    <col min="269" max="273" width="9" style="6" customWidth="1"/>
    <col min="274" max="274" width="10.7109375" style="6" customWidth="1"/>
    <col min="275" max="276" width="9" style="6" customWidth="1"/>
    <col min="277" max="277" width="7.7109375" style="6" customWidth="1"/>
    <col min="278" max="278" width="9.28515625" style="6" customWidth="1"/>
    <col min="279" max="279" width="11" style="6" customWidth="1"/>
    <col min="280" max="294" width="7.85546875" style="6" customWidth="1"/>
    <col min="295" max="295" width="9.140625" style="6"/>
    <col min="296" max="296" width="4.140625" style="6" customWidth="1"/>
    <col min="297" max="512" width="9.140625" style="6"/>
    <col min="513" max="513" width="34.28515625" style="6" customWidth="1"/>
    <col min="514" max="524" width="7.7109375" style="6" customWidth="1"/>
    <col min="525" max="529" width="9" style="6" customWidth="1"/>
    <col min="530" max="530" width="10.7109375" style="6" customWidth="1"/>
    <col min="531" max="532" width="9" style="6" customWidth="1"/>
    <col min="533" max="533" width="7.7109375" style="6" customWidth="1"/>
    <col min="534" max="534" width="9.28515625" style="6" customWidth="1"/>
    <col min="535" max="535" width="11" style="6" customWidth="1"/>
    <col min="536" max="550" width="7.85546875" style="6" customWidth="1"/>
    <col min="551" max="551" width="9.140625" style="6"/>
    <col min="552" max="552" width="4.140625" style="6" customWidth="1"/>
    <col min="553" max="768" width="9.140625" style="6"/>
    <col min="769" max="769" width="34.28515625" style="6" customWidth="1"/>
    <col min="770" max="780" width="7.7109375" style="6" customWidth="1"/>
    <col min="781" max="785" width="9" style="6" customWidth="1"/>
    <col min="786" max="786" width="10.7109375" style="6" customWidth="1"/>
    <col min="787" max="788" width="9" style="6" customWidth="1"/>
    <col min="789" max="789" width="7.7109375" style="6" customWidth="1"/>
    <col min="790" max="790" width="9.28515625" style="6" customWidth="1"/>
    <col min="791" max="791" width="11" style="6" customWidth="1"/>
    <col min="792" max="806" width="7.85546875" style="6" customWidth="1"/>
    <col min="807" max="807" width="9.140625" style="6"/>
    <col min="808" max="808" width="4.140625" style="6" customWidth="1"/>
    <col min="809" max="1024" width="9.140625" style="6"/>
    <col min="1025" max="1025" width="34.28515625" style="6" customWidth="1"/>
    <col min="1026" max="1036" width="7.7109375" style="6" customWidth="1"/>
    <col min="1037" max="1041" width="9" style="6" customWidth="1"/>
    <col min="1042" max="1042" width="10.7109375" style="6" customWidth="1"/>
    <col min="1043" max="1044" width="9" style="6" customWidth="1"/>
    <col min="1045" max="1045" width="7.7109375" style="6" customWidth="1"/>
    <col min="1046" max="1046" width="9.28515625" style="6" customWidth="1"/>
    <col min="1047" max="1047" width="11" style="6" customWidth="1"/>
    <col min="1048" max="1062" width="7.85546875" style="6" customWidth="1"/>
    <col min="1063" max="1063" width="9.140625" style="6"/>
    <col min="1064" max="1064" width="4.140625" style="6" customWidth="1"/>
    <col min="1065" max="1280" width="9.140625" style="6"/>
    <col min="1281" max="1281" width="34.28515625" style="6" customWidth="1"/>
    <col min="1282" max="1292" width="7.7109375" style="6" customWidth="1"/>
    <col min="1293" max="1297" width="9" style="6" customWidth="1"/>
    <col min="1298" max="1298" width="10.7109375" style="6" customWidth="1"/>
    <col min="1299" max="1300" width="9" style="6" customWidth="1"/>
    <col min="1301" max="1301" width="7.7109375" style="6" customWidth="1"/>
    <col min="1302" max="1302" width="9.28515625" style="6" customWidth="1"/>
    <col min="1303" max="1303" width="11" style="6" customWidth="1"/>
    <col min="1304" max="1318" width="7.85546875" style="6" customWidth="1"/>
    <col min="1319" max="1319" width="9.140625" style="6"/>
    <col min="1320" max="1320" width="4.140625" style="6" customWidth="1"/>
    <col min="1321" max="1536" width="9.140625" style="6"/>
    <col min="1537" max="1537" width="34.28515625" style="6" customWidth="1"/>
    <col min="1538" max="1548" width="7.7109375" style="6" customWidth="1"/>
    <col min="1549" max="1553" width="9" style="6" customWidth="1"/>
    <col min="1554" max="1554" width="10.7109375" style="6" customWidth="1"/>
    <col min="1555" max="1556" width="9" style="6" customWidth="1"/>
    <col min="1557" max="1557" width="7.7109375" style="6" customWidth="1"/>
    <col min="1558" max="1558" width="9.28515625" style="6" customWidth="1"/>
    <col min="1559" max="1559" width="11" style="6" customWidth="1"/>
    <col min="1560" max="1574" width="7.85546875" style="6" customWidth="1"/>
    <col min="1575" max="1575" width="9.140625" style="6"/>
    <col min="1576" max="1576" width="4.140625" style="6" customWidth="1"/>
    <col min="1577" max="1792" width="9.140625" style="6"/>
    <col min="1793" max="1793" width="34.28515625" style="6" customWidth="1"/>
    <col min="1794" max="1804" width="7.7109375" style="6" customWidth="1"/>
    <col min="1805" max="1809" width="9" style="6" customWidth="1"/>
    <col min="1810" max="1810" width="10.7109375" style="6" customWidth="1"/>
    <col min="1811" max="1812" width="9" style="6" customWidth="1"/>
    <col min="1813" max="1813" width="7.7109375" style="6" customWidth="1"/>
    <col min="1814" max="1814" width="9.28515625" style="6" customWidth="1"/>
    <col min="1815" max="1815" width="11" style="6" customWidth="1"/>
    <col min="1816" max="1830" width="7.85546875" style="6" customWidth="1"/>
    <col min="1831" max="1831" width="9.140625" style="6"/>
    <col min="1832" max="1832" width="4.140625" style="6" customWidth="1"/>
    <col min="1833" max="2048" width="9.140625" style="6"/>
    <col min="2049" max="2049" width="34.28515625" style="6" customWidth="1"/>
    <col min="2050" max="2060" width="7.7109375" style="6" customWidth="1"/>
    <col min="2061" max="2065" width="9" style="6" customWidth="1"/>
    <col min="2066" max="2066" width="10.7109375" style="6" customWidth="1"/>
    <col min="2067" max="2068" width="9" style="6" customWidth="1"/>
    <col min="2069" max="2069" width="7.7109375" style="6" customWidth="1"/>
    <col min="2070" max="2070" width="9.28515625" style="6" customWidth="1"/>
    <col min="2071" max="2071" width="11" style="6" customWidth="1"/>
    <col min="2072" max="2086" width="7.85546875" style="6" customWidth="1"/>
    <col min="2087" max="2087" width="9.140625" style="6"/>
    <col min="2088" max="2088" width="4.140625" style="6" customWidth="1"/>
    <col min="2089" max="2304" width="9.140625" style="6"/>
    <col min="2305" max="2305" width="34.28515625" style="6" customWidth="1"/>
    <col min="2306" max="2316" width="7.7109375" style="6" customWidth="1"/>
    <col min="2317" max="2321" width="9" style="6" customWidth="1"/>
    <col min="2322" max="2322" width="10.7109375" style="6" customWidth="1"/>
    <col min="2323" max="2324" width="9" style="6" customWidth="1"/>
    <col min="2325" max="2325" width="7.7109375" style="6" customWidth="1"/>
    <col min="2326" max="2326" width="9.28515625" style="6" customWidth="1"/>
    <col min="2327" max="2327" width="11" style="6" customWidth="1"/>
    <col min="2328" max="2342" width="7.85546875" style="6" customWidth="1"/>
    <col min="2343" max="2343" width="9.140625" style="6"/>
    <col min="2344" max="2344" width="4.140625" style="6" customWidth="1"/>
    <col min="2345" max="2560" width="9.140625" style="6"/>
    <col min="2561" max="2561" width="34.28515625" style="6" customWidth="1"/>
    <col min="2562" max="2572" width="7.7109375" style="6" customWidth="1"/>
    <col min="2573" max="2577" width="9" style="6" customWidth="1"/>
    <col min="2578" max="2578" width="10.7109375" style="6" customWidth="1"/>
    <col min="2579" max="2580" width="9" style="6" customWidth="1"/>
    <col min="2581" max="2581" width="7.7109375" style="6" customWidth="1"/>
    <col min="2582" max="2582" width="9.28515625" style="6" customWidth="1"/>
    <col min="2583" max="2583" width="11" style="6" customWidth="1"/>
    <col min="2584" max="2598" width="7.85546875" style="6" customWidth="1"/>
    <col min="2599" max="2599" width="9.140625" style="6"/>
    <col min="2600" max="2600" width="4.140625" style="6" customWidth="1"/>
    <col min="2601" max="2816" width="9.140625" style="6"/>
    <col min="2817" max="2817" width="34.28515625" style="6" customWidth="1"/>
    <col min="2818" max="2828" width="7.7109375" style="6" customWidth="1"/>
    <col min="2829" max="2833" width="9" style="6" customWidth="1"/>
    <col min="2834" max="2834" width="10.7109375" style="6" customWidth="1"/>
    <col min="2835" max="2836" width="9" style="6" customWidth="1"/>
    <col min="2837" max="2837" width="7.7109375" style="6" customWidth="1"/>
    <col min="2838" max="2838" width="9.28515625" style="6" customWidth="1"/>
    <col min="2839" max="2839" width="11" style="6" customWidth="1"/>
    <col min="2840" max="2854" width="7.85546875" style="6" customWidth="1"/>
    <col min="2855" max="2855" width="9.140625" style="6"/>
    <col min="2856" max="2856" width="4.140625" style="6" customWidth="1"/>
    <col min="2857" max="3072" width="9.140625" style="6"/>
    <col min="3073" max="3073" width="34.28515625" style="6" customWidth="1"/>
    <col min="3074" max="3084" width="7.7109375" style="6" customWidth="1"/>
    <col min="3085" max="3089" width="9" style="6" customWidth="1"/>
    <col min="3090" max="3090" width="10.7109375" style="6" customWidth="1"/>
    <col min="3091" max="3092" width="9" style="6" customWidth="1"/>
    <col min="3093" max="3093" width="7.7109375" style="6" customWidth="1"/>
    <col min="3094" max="3094" width="9.28515625" style="6" customWidth="1"/>
    <col min="3095" max="3095" width="11" style="6" customWidth="1"/>
    <col min="3096" max="3110" width="7.85546875" style="6" customWidth="1"/>
    <col min="3111" max="3111" width="9.140625" style="6"/>
    <col min="3112" max="3112" width="4.140625" style="6" customWidth="1"/>
    <col min="3113" max="3328" width="9.140625" style="6"/>
    <col min="3329" max="3329" width="34.28515625" style="6" customWidth="1"/>
    <col min="3330" max="3340" width="7.7109375" style="6" customWidth="1"/>
    <col min="3341" max="3345" width="9" style="6" customWidth="1"/>
    <col min="3346" max="3346" width="10.7109375" style="6" customWidth="1"/>
    <col min="3347" max="3348" width="9" style="6" customWidth="1"/>
    <col min="3349" max="3349" width="7.7109375" style="6" customWidth="1"/>
    <col min="3350" max="3350" width="9.28515625" style="6" customWidth="1"/>
    <col min="3351" max="3351" width="11" style="6" customWidth="1"/>
    <col min="3352" max="3366" width="7.85546875" style="6" customWidth="1"/>
    <col min="3367" max="3367" width="9.140625" style="6"/>
    <col min="3368" max="3368" width="4.140625" style="6" customWidth="1"/>
    <col min="3369" max="3584" width="9.140625" style="6"/>
    <col min="3585" max="3585" width="34.28515625" style="6" customWidth="1"/>
    <col min="3586" max="3596" width="7.7109375" style="6" customWidth="1"/>
    <col min="3597" max="3601" width="9" style="6" customWidth="1"/>
    <col min="3602" max="3602" width="10.7109375" style="6" customWidth="1"/>
    <col min="3603" max="3604" width="9" style="6" customWidth="1"/>
    <col min="3605" max="3605" width="7.7109375" style="6" customWidth="1"/>
    <col min="3606" max="3606" width="9.28515625" style="6" customWidth="1"/>
    <col min="3607" max="3607" width="11" style="6" customWidth="1"/>
    <col min="3608" max="3622" width="7.85546875" style="6" customWidth="1"/>
    <col min="3623" max="3623" width="9.140625" style="6"/>
    <col min="3624" max="3624" width="4.140625" style="6" customWidth="1"/>
    <col min="3625" max="3840" width="9.140625" style="6"/>
    <col min="3841" max="3841" width="34.28515625" style="6" customWidth="1"/>
    <col min="3842" max="3852" width="7.7109375" style="6" customWidth="1"/>
    <col min="3853" max="3857" width="9" style="6" customWidth="1"/>
    <col min="3858" max="3858" width="10.7109375" style="6" customWidth="1"/>
    <col min="3859" max="3860" width="9" style="6" customWidth="1"/>
    <col min="3861" max="3861" width="7.7109375" style="6" customWidth="1"/>
    <col min="3862" max="3862" width="9.28515625" style="6" customWidth="1"/>
    <col min="3863" max="3863" width="11" style="6" customWidth="1"/>
    <col min="3864" max="3878" width="7.85546875" style="6" customWidth="1"/>
    <col min="3879" max="3879" width="9.140625" style="6"/>
    <col min="3880" max="3880" width="4.140625" style="6" customWidth="1"/>
    <col min="3881" max="4096" width="9.140625" style="6"/>
    <col min="4097" max="4097" width="34.28515625" style="6" customWidth="1"/>
    <col min="4098" max="4108" width="7.7109375" style="6" customWidth="1"/>
    <col min="4109" max="4113" width="9" style="6" customWidth="1"/>
    <col min="4114" max="4114" width="10.7109375" style="6" customWidth="1"/>
    <col min="4115" max="4116" width="9" style="6" customWidth="1"/>
    <col min="4117" max="4117" width="7.7109375" style="6" customWidth="1"/>
    <col min="4118" max="4118" width="9.28515625" style="6" customWidth="1"/>
    <col min="4119" max="4119" width="11" style="6" customWidth="1"/>
    <col min="4120" max="4134" width="7.85546875" style="6" customWidth="1"/>
    <col min="4135" max="4135" width="9.140625" style="6"/>
    <col min="4136" max="4136" width="4.140625" style="6" customWidth="1"/>
    <col min="4137" max="4352" width="9.140625" style="6"/>
    <col min="4353" max="4353" width="34.28515625" style="6" customWidth="1"/>
    <col min="4354" max="4364" width="7.7109375" style="6" customWidth="1"/>
    <col min="4365" max="4369" width="9" style="6" customWidth="1"/>
    <col min="4370" max="4370" width="10.7109375" style="6" customWidth="1"/>
    <col min="4371" max="4372" width="9" style="6" customWidth="1"/>
    <col min="4373" max="4373" width="7.7109375" style="6" customWidth="1"/>
    <col min="4374" max="4374" width="9.28515625" style="6" customWidth="1"/>
    <col min="4375" max="4375" width="11" style="6" customWidth="1"/>
    <col min="4376" max="4390" width="7.85546875" style="6" customWidth="1"/>
    <col min="4391" max="4391" width="9.140625" style="6"/>
    <col min="4392" max="4392" width="4.140625" style="6" customWidth="1"/>
    <col min="4393" max="4608" width="9.140625" style="6"/>
    <col min="4609" max="4609" width="34.28515625" style="6" customWidth="1"/>
    <col min="4610" max="4620" width="7.7109375" style="6" customWidth="1"/>
    <col min="4621" max="4625" width="9" style="6" customWidth="1"/>
    <col min="4626" max="4626" width="10.7109375" style="6" customWidth="1"/>
    <col min="4627" max="4628" width="9" style="6" customWidth="1"/>
    <col min="4629" max="4629" width="7.7109375" style="6" customWidth="1"/>
    <col min="4630" max="4630" width="9.28515625" style="6" customWidth="1"/>
    <col min="4631" max="4631" width="11" style="6" customWidth="1"/>
    <col min="4632" max="4646" width="7.85546875" style="6" customWidth="1"/>
    <col min="4647" max="4647" width="9.140625" style="6"/>
    <col min="4648" max="4648" width="4.140625" style="6" customWidth="1"/>
    <col min="4649" max="4864" width="9.140625" style="6"/>
    <col min="4865" max="4865" width="34.28515625" style="6" customWidth="1"/>
    <col min="4866" max="4876" width="7.7109375" style="6" customWidth="1"/>
    <col min="4877" max="4881" width="9" style="6" customWidth="1"/>
    <col min="4882" max="4882" width="10.7109375" style="6" customWidth="1"/>
    <col min="4883" max="4884" width="9" style="6" customWidth="1"/>
    <col min="4885" max="4885" width="7.7109375" style="6" customWidth="1"/>
    <col min="4886" max="4886" width="9.28515625" style="6" customWidth="1"/>
    <col min="4887" max="4887" width="11" style="6" customWidth="1"/>
    <col min="4888" max="4902" width="7.85546875" style="6" customWidth="1"/>
    <col min="4903" max="4903" width="9.140625" style="6"/>
    <col min="4904" max="4904" width="4.140625" style="6" customWidth="1"/>
    <col min="4905" max="5120" width="9.140625" style="6"/>
    <col min="5121" max="5121" width="34.28515625" style="6" customWidth="1"/>
    <col min="5122" max="5132" width="7.7109375" style="6" customWidth="1"/>
    <col min="5133" max="5137" width="9" style="6" customWidth="1"/>
    <col min="5138" max="5138" width="10.7109375" style="6" customWidth="1"/>
    <col min="5139" max="5140" width="9" style="6" customWidth="1"/>
    <col min="5141" max="5141" width="7.7109375" style="6" customWidth="1"/>
    <col min="5142" max="5142" width="9.28515625" style="6" customWidth="1"/>
    <col min="5143" max="5143" width="11" style="6" customWidth="1"/>
    <col min="5144" max="5158" width="7.85546875" style="6" customWidth="1"/>
    <col min="5159" max="5159" width="9.140625" style="6"/>
    <col min="5160" max="5160" width="4.140625" style="6" customWidth="1"/>
    <col min="5161" max="5376" width="9.140625" style="6"/>
    <col min="5377" max="5377" width="34.28515625" style="6" customWidth="1"/>
    <col min="5378" max="5388" width="7.7109375" style="6" customWidth="1"/>
    <col min="5389" max="5393" width="9" style="6" customWidth="1"/>
    <col min="5394" max="5394" width="10.7109375" style="6" customWidth="1"/>
    <col min="5395" max="5396" width="9" style="6" customWidth="1"/>
    <col min="5397" max="5397" width="7.7109375" style="6" customWidth="1"/>
    <col min="5398" max="5398" width="9.28515625" style="6" customWidth="1"/>
    <col min="5399" max="5399" width="11" style="6" customWidth="1"/>
    <col min="5400" max="5414" width="7.85546875" style="6" customWidth="1"/>
    <col min="5415" max="5415" width="9.140625" style="6"/>
    <col min="5416" max="5416" width="4.140625" style="6" customWidth="1"/>
    <col min="5417" max="5632" width="9.140625" style="6"/>
    <col min="5633" max="5633" width="34.28515625" style="6" customWidth="1"/>
    <col min="5634" max="5644" width="7.7109375" style="6" customWidth="1"/>
    <col min="5645" max="5649" width="9" style="6" customWidth="1"/>
    <col min="5650" max="5650" width="10.7109375" style="6" customWidth="1"/>
    <col min="5651" max="5652" width="9" style="6" customWidth="1"/>
    <col min="5653" max="5653" width="7.7109375" style="6" customWidth="1"/>
    <col min="5654" max="5654" width="9.28515625" style="6" customWidth="1"/>
    <col min="5655" max="5655" width="11" style="6" customWidth="1"/>
    <col min="5656" max="5670" width="7.85546875" style="6" customWidth="1"/>
    <col min="5671" max="5671" width="9.140625" style="6"/>
    <col min="5672" max="5672" width="4.140625" style="6" customWidth="1"/>
    <col min="5673" max="5888" width="9.140625" style="6"/>
    <col min="5889" max="5889" width="34.28515625" style="6" customWidth="1"/>
    <col min="5890" max="5900" width="7.7109375" style="6" customWidth="1"/>
    <col min="5901" max="5905" width="9" style="6" customWidth="1"/>
    <col min="5906" max="5906" width="10.7109375" style="6" customWidth="1"/>
    <col min="5907" max="5908" width="9" style="6" customWidth="1"/>
    <col min="5909" max="5909" width="7.7109375" style="6" customWidth="1"/>
    <col min="5910" max="5910" width="9.28515625" style="6" customWidth="1"/>
    <col min="5911" max="5911" width="11" style="6" customWidth="1"/>
    <col min="5912" max="5926" width="7.85546875" style="6" customWidth="1"/>
    <col min="5927" max="5927" width="9.140625" style="6"/>
    <col min="5928" max="5928" width="4.140625" style="6" customWidth="1"/>
    <col min="5929" max="6144" width="9.140625" style="6"/>
    <col min="6145" max="6145" width="34.28515625" style="6" customWidth="1"/>
    <col min="6146" max="6156" width="7.7109375" style="6" customWidth="1"/>
    <col min="6157" max="6161" width="9" style="6" customWidth="1"/>
    <col min="6162" max="6162" width="10.7109375" style="6" customWidth="1"/>
    <col min="6163" max="6164" width="9" style="6" customWidth="1"/>
    <col min="6165" max="6165" width="7.7109375" style="6" customWidth="1"/>
    <col min="6166" max="6166" width="9.28515625" style="6" customWidth="1"/>
    <col min="6167" max="6167" width="11" style="6" customWidth="1"/>
    <col min="6168" max="6182" width="7.85546875" style="6" customWidth="1"/>
    <col min="6183" max="6183" width="9.140625" style="6"/>
    <col min="6184" max="6184" width="4.140625" style="6" customWidth="1"/>
    <col min="6185" max="6400" width="9.140625" style="6"/>
    <col min="6401" max="6401" width="34.28515625" style="6" customWidth="1"/>
    <col min="6402" max="6412" width="7.7109375" style="6" customWidth="1"/>
    <col min="6413" max="6417" width="9" style="6" customWidth="1"/>
    <col min="6418" max="6418" width="10.7109375" style="6" customWidth="1"/>
    <col min="6419" max="6420" width="9" style="6" customWidth="1"/>
    <col min="6421" max="6421" width="7.7109375" style="6" customWidth="1"/>
    <col min="6422" max="6422" width="9.28515625" style="6" customWidth="1"/>
    <col min="6423" max="6423" width="11" style="6" customWidth="1"/>
    <col min="6424" max="6438" width="7.85546875" style="6" customWidth="1"/>
    <col min="6439" max="6439" width="9.140625" style="6"/>
    <col min="6440" max="6440" width="4.140625" style="6" customWidth="1"/>
    <col min="6441" max="6656" width="9.140625" style="6"/>
    <col min="6657" max="6657" width="34.28515625" style="6" customWidth="1"/>
    <col min="6658" max="6668" width="7.7109375" style="6" customWidth="1"/>
    <col min="6669" max="6673" width="9" style="6" customWidth="1"/>
    <col min="6674" max="6674" width="10.7109375" style="6" customWidth="1"/>
    <col min="6675" max="6676" width="9" style="6" customWidth="1"/>
    <col min="6677" max="6677" width="7.7109375" style="6" customWidth="1"/>
    <col min="6678" max="6678" width="9.28515625" style="6" customWidth="1"/>
    <col min="6679" max="6679" width="11" style="6" customWidth="1"/>
    <col min="6680" max="6694" width="7.85546875" style="6" customWidth="1"/>
    <col min="6695" max="6695" width="9.140625" style="6"/>
    <col min="6696" max="6696" width="4.140625" style="6" customWidth="1"/>
    <col min="6697" max="6912" width="9.140625" style="6"/>
    <col min="6913" max="6913" width="34.28515625" style="6" customWidth="1"/>
    <col min="6914" max="6924" width="7.7109375" style="6" customWidth="1"/>
    <col min="6925" max="6929" width="9" style="6" customWidth="1"/>
    <col min="6930" max="6930" width="10.7109375" style="6" customWidth="1"/>
    <col min="6931" max="6932" width="9" style="6" customWidth="1"/>
    <col min="6933" max="6933" width="7.7109375" style="6" customWidth="1"/>
    <col min="6934" max="6934" width="9.28515625" style="6" customWidth="1"/>
    <col min="6935" max="6935" width="11" style="6" customWidth="1"/>
    <col min="6936" max="6950" width="7.85546875" style="6" customWidth="1"/>
    <col min="6951" max="6951" width="9.140625" style="6"/>
    <col min="6952" max="6952" width="4.140625" style="6" customWidth="1"/>
    <col min="6953" max="7168" width="9.140625" style="6"/>
    <col min="7169" max="7169" width="34.28515625" style="6" customWidth="1"/>
    <col min="7170" max="7180" width="7.7109375" style="6" customWidth="1"/>
    <col min="7181" max="7185" width="9" style="6" customWidth="1"/>
    <col min="7186" max="7186" width="10.7109375" style="6" customWidth="1"/>
    <col min="7187" max="7188" width="9" style="6" customWidth="1"/>
    <col min="7189" max="7189" width="7.7109375" style="6" customWidth="1"/>
    <col min="7190" max="7190" width="9.28515625" style="6" customWidth="1"/>
    <col min="7191" max="7191" width="11" style="6" customWidth="1"/>
    <col min="7192" max="7206" width="7.85546875" style="6" customWidth="1"/>
    <col min="7207" max="7207" width="9.140625" style="6"/>
    <col min="7208" max="7208" width="4.140625" style="6" customWidth="1"/>
    <col min="7209" max="7424" width="9.140625" style="6"/>
    <col min="7425" max="7425" width="34.28515625" style="6" customWidth="1"/>
    <col min="7426" max="7436" width="7.7109375" style="6" customWidth="1"/>
    <col min="7437" max="7441" width="9" style="6" customWidth="1"/>
    <col min="7442" max="7442" width="10.7109375" style="6" customWidth="1"/>
    <col min="7443" max="7444" width="9" style="6" customWidth="1"/>
    <col min="7445" max="7445" width="7.7109375" style="6" customWidth="1"/>
    <col min="7446" max="7446" width="9.28515625" style="6" customWidth="1"/>
    <col min="7447" max="7447" width="11" style="6" customWidth="1"/>
    <col min="7448" max="7462" width="7.85546875" style="6" customWidth="1"/>
    <col min="7463" max="7463" width="9.140625" style="6"/>
    <col min="7464" max="7464" width="4.140625" style="6" customWidth="1"/>
    <col min="7465" max="7680" width="9.140625" style="6"/>
    <col min="7681" max="7681" width="34.28515625" style="6" customWidth="1"/>
    <col min="7682" max="7692" width="7.7109375" style="6" customWidth="1"/>
    <col min="7693" max="7697" width="9" style="6" customWidth="1"/>
    <col min="7698" max="7698" width="10.7109375" style="6" customWidth="1"/>
    <col min="7699" max="7700" width="9" style="6" customWidth="1"/>
    <col min="7701" max="7701" width="7.7109375" style="6" customWidth="1"/>
    <col min="7702" max="7702" width="9.28515625" style="6" customWidth="1"/>
    <col min="7703" max="7703" width="11" style="6" customWidth="1"/>
    <col min="7704" max="7718" width="7.85546875" style="6" customWidth="1"/>
    <col min="7719" max="7719" width="9.140625" style="6"/>
    <col min="7720" max="7720" width="4.140625" style="6" customWidth="1"/>
    <col min="7721" max="7936" width="9.140625" style="6"/>
    <col min="7937" max="7937" width="34.28515625" style="6" customWidth="1"/>
    <col min="7938" max="7948" width="7.7109375" style="6" customWidth="1"/>
    <col min="7949" max="7953" width="9" style="6" customWidth="1"/>
    <col min="7954" max="7954" width="10.7109375" style="6" customWidth="1"/>
    <col min="7955" max="7956" width="9" style="6" customWidth="1"/>
    <col min="7957" max="7957" width="7.7109375" style="6" customWidth="1"/>
    <col min="7958" max="7958" width="9.28515625" style="6" customWidth="1"/>
    <col min="7959" max="7959" width="11" style="6" customWidth="1"/>
    <col min="7960" max="7974" width="7.85546875" style="6" customWidth="1"/>
    <col min="7975" max="7975" width="9.140625" style="6"/>
    <col min="7976" max="7976" width="4.140625" style="6" customWidth="1"/>
    <col min="7977" max="8192" width="9.140625" style="6"/>
    <col min="8193" max="8193" width="34.28515625" style="6" customWidth="1"/>
    <col min="8194" max="8204" width="7.7109375" style="6" customWidth="1"/>
    <col min="8205" max="8209" width="9" style="6" customWidth="1"/>
    <col min="8210" max="8210" width="10.7109375" style="6" customWidth="1"/>
    <col min="8211" max="8212" width="9" style="6" customWidth="1"/>
    <col min="8213" max="8213" width="7.7109375" style="6" customWidth="1"/>
    <col min="8214" max="8214" width="9.28515625" style="6" customWidth="1"/>
    <col min="8215" max="8215" width="11" style="6" customWidth="1"/>
    <col min="8216" max="8230" width="7.85546875" style="6" customWidth="1"/>
    <col min="8231" max="8231" width="9.140625" style="6"/>
    <col min="8232" max="8232" width="4.140625" style="6" customWidth="1"/>
    <col min="8233" max="8448" width="9.140625" style="6"/>
    <col min="8449" max="8449" width="34.28515625" style="6" customWidth="1"/>
    <col min="8450" max="8460" width="7.7109375" style="6" customWidth="1"/>
    <col min="8461" max="8465" width="9" style="6" customWidth="1"/>
    <col min="8466" max="8466" width="10.7109375" style="6" customWidth="1"/>
    <col min="8467" max="8468" width="9" style="6" customWidth="1"/>
    <col min="8469" max="8469" width="7.7109375" style="6" customWidth="1"/>
    <col min="8470" max="8470" width="9.28515625" style="6" customWidth="1"/>
    <col min="8471" max="8471" width="11" style="6" customWidth="1"/>
    <col min="8472" max="8486" width="7.85546875" style="6" customWidth="1"/>
    <col min="8487" max="8487" width="9.140625" style="6"/>
    <col min="8488" max="8488" width="4.140625" style="6" customWidth="1"/>
    <col min="8489" max="8704" width="9.140625" style="6"/>
    <col min="8705" max="8705" width="34.28515625" style="6" customWidth="1"/>
    <col min="8706" max="8716" width="7.7109375" style="6" customWidth="1"/>
    <col min="8717" max="8721" width="9" style="6" customWidth="1"/>
    <col min="8722" max="8722" width="10.7109375" style="6" customWidth="1"/>
    <col min="8723" max="8724" width="9" style="6" customWidth="1"/>
    <col min="8725" max="8725" width="7.7109375" style="6" customWidth="1"/>
    <col min="8726" max="8726" width="9.28515625" style="6" customWidth="1"/>
    <col min="8727" max="8727" width="11" style="6" customWidth="1"/>
    <col min="8728" max="8742" width="7.85546875" style="6" customWidth="1"/>
    <col min="8743" max="8743" width="9.140625" style="6"/>
    <col min="8744" max="8744" width="4.140625" style="6" customWidth="1"/>
    <col min="8745" max="8960" width="9.140625" style="6"/>
    <col min="8961" max="8961" width="34.28515625" style="6" customWidth="1"/>
    <col min="8962" max="8972" width="7.7109375" style="6" customWidth="1"/>
    <col min="8973" max="8977" width="9" style="6" customWidth="1"/>
    <col min="8978" max="8978" width="10.7109375" style="6" customWidth="1"/>
    <col min="8979" max="8980" width="9" style="6" customWidth="1"/>
    <col min="8981" max="8981" width="7.7109375" style="6" customWidth="1"/>
    <col min="8982" max="8982" width="9.28515625" style="6" customWidth="1"/>
    <col min="8983" max="8983" width="11" style="6" customWidth="1"/>
    <col min="8984" max="8998" width="7.85546875" style="6" customWidth="1"/>
    <col min="8999" max="8999" width="9.140625" style="6"/>
    <col min="9000" max="9000" width="4.140625" style="6" customWidth="1"/>
    <col min="9001" max="9216" width="9.140625" style="6"/>
    <col min="9217" max="9217" width="34.28515625" style="6" customWidth="1"/>
    <col min="9218" max="9228" width="7.7109375" style="6" customWidth="1"/>
    <col min="9229" max="9233" width="9" style="6" customWidth="1"/>
    <col min="9234" max="9234" width="10.7109375" style="6" customWidth="1"/>
    <col min="9235" max="9236" width="9" style="6" customWidth="1"/>
    <col min="9237" max="9237" width="7.7109375" style="6" customWidth="1"/>
    <col min="9238" max="9238" width="9.28515625" style="6" customWidth="1"/>
    <col min="9239" max="9239" width="11" style="6" customWidth="1"/>
    <col min="9240" max="9254" width="7.85546875" style="6" customWidth="1"/>
    <col min="9255" max="9255" width="9.140625" style="6"/>
    <col min="9256" max="9256" width="4.140625" style="6" customWidth="1"/>
    <col min="9257" max="9472" width="9.140625" style="6"/>
    <col min="9473" max="9473" width="34.28515625" style="6" customWidth="1"/>
    <col min="9474" max="9484" width="7.7109375" style="6" customWidth="1"/>
    <col min="9485" max="9489" width="9" style="6" customWidth="1"/>
    <col min="9490" max="9490" width="10.7109375" style="6" customWidth="1"/>
    <col min="9491" max="9492" width="9" style="6" customWidth="1"/>
    <col min="9493" max="9493" width="7.7109375" style="6" customWidth="1"/>
    <col min="9494" max="9494" width="9.28515625" style="6" customWidth="1"/>
    <col min="9495" max="9495" width="11" style="6" customWidth="1"/>
    <col min="9496" max="9510" width="7.85546875" style="6" customWidth="1"/>
    <col min="9511" max="9511" width="9.140625" style="6"/>
    <col min="9512" max="9512" width="4.140625" style="6" customWidth="1"/>
    <col min="9513" max="9728" width="9.140625" style="6"/>
    <col min="9729" max="9729" width="34.28515625" style="6" customWidth="1"/>
    <col min="9730" max="9740" width="7.7109375" style="6" customWidth="1"/>
    <col min="9741" max="9745" width="9" style="6" customWidth="1"/>
    <col min="9746" max="9746" width="10.7109375" style="6" customWidth="1"/>
    <col min="9747" max="9748" width="9" style="6" customWidth="1"/>
    <col min="9749" max="9749" width="7.7109375" style="6" customWidth="1"/>
    <col min="9750" max="9750" width="9.28515625" style="6" customWidth="1"/>
    <col min="9751" max="9751" width="11" style="6" customWidth="1"/>
    <col min="9752" max="9766" width="7.85546875" style="6" customWidth="1"/>
    <col min="9767" max="9767" width="9.140625" style="6"/>
    <col min="9768" max="9768" width="4.140625" style="6" customWidth="1"/>
    <col min="9769" max="9984" width="9.140625" style="6"/>
    <col min="9985" max="9985" width="34.28515625" style="6" customWidth="1"/>
    <col min="9986" max="9996" width="7.7109375" style="6" customWidth="1"/>
    <col min="9997" max="10001" width="9" style="6" customWidth="1"/>
    <col min="10002" max="10002" width="10.7109375" style="6" customWidth="1"/>
    <col min="10003" max="10004" width="9" style="6" customWidth="1"/>
    <col min="10005" max="10005" width="7.7109375" style="6" customWidth="1"/>
    <col min="10006" max="10006" width="9.28515625" style="6" customWidth="1"/>
    <col min="10007" max="10007" width="11" style="6" customWidth="1"/>
    <col min="10008" max="10022" width="7.85546875" style="6" customWidth="1"/>
    <col min="10023" max="10023" width="9.140625" style="6"/>
    <col min="10024" max="10024" width="4.140625" style="6" customWidth="1"/>
    <col min="10025" max="10240" width="9.140625" style="6"/>
    <col min="10241" max="10241" width="34.28515625" style="6" customWidth="1"/>
    <col min="10242" max="10252" width="7.7109375" style="6" customWidth="1"/>
    <col min="10253" max="10257" width="9" style="6" customWidth="1"/>
    <col min="10258" max="10258" width="10.7109375" style="6" customWidth="1"/>
    <col min="10259" max="10260" width="9" style="6" customWidth="1"/>
    <col min="10261" max="10261" width="7.7109375" style="6" customWidth="1"/>
    <col min="10262" max="10262" width="9.28515625" style="6" customWidth="1"/>
    <col min="10263" max="10263" width="11" style="6" customWidth="1"/>
    <col min="10264" max="10278" width="7.85546875" style="6" customWidth="1"/>
    <col min="10279" max="10279" width="9.140625" style="6"/>
    <col min="10280" max="10280" width="4.140625" style="6" customWidth="1"/>
    <col min="10281" max="10496" width="9.140625" style="6"/>
    <col min="10497" max="10497" width="34.28515625" style="6" customWidth="1"/>
    <col min="10498" max="10508" width="7.7109375" style="6" customWidth="1"/>
    <col min="10509" max="10513" width="9" style="6" customWidth="1"/>
    <col min="10514" max="10514" width="10.7109375" style="6" customWidth="1"/>
    <col min="10515" max="10516" width="9" style="6" customWidth="1"/>
    <col min="10517" max="10517" width="7.7109375" style="6" customWidth="1"/>
    <col min="10518" max="10518" width="9.28515625" style="6" customWidth="1"/>
    <col min="10519" max="10519" width="11" style="6" customWidth="1"/>
    <col min="10520" max="10534" width="7.85546875" style="6" customWidth="1"/>
    <col min="10535" max="10535" width="9.140625" style="6"/>
    <col min="10536" max="10536" width="4.140625" style="6" customWidth="1"/>
    <col min="10537" max="10752" width="9.140625" style="6"/>
    <col min="10753" max="10753" width="34.28515625" style="6" customWidth="1"/>
    <col min="10754" max="10764" width="7.7109375" style="6" customWidth="1"/>
    <col min="10765" max="10769" width="9" style="6" customWidth="1"/>
    <col min="10770" max="10770" width="10.7109375" style="6" customWidth="1"/>
    <col min="10771" max="10772" width="9" style="6" customWidth="1"/>
    <col min="10773" max="10773" width="7.7109375" style="6" customWidth="1"/>
    <col min="10774" max="10774" width="9.28515625" style="6" customWidth="1"/>
    <col min="10775" max="10775" width="11" style="6" customWidth="1"/>
    <col min="10776" max="10790" width="7.85546875" style="6" customWidth="1"/>
    <col min="10791" max="10791" width="9.140625" style="6"/>
    <col min="10792" max="10792" width="4.140625" style="6" customWidth="1"/>
    <col min="10793" max="11008" width="9.140625" style="6"/>
    <col min="11009" max="11009" width="34.28515625" style="6" customWidth="1"/>
    <col min="11010" max="11020" width="7.7109375" style="6" customWidth="1"/>
    <col min="11021" max="11025" width="9" style="6" customWidth="1"/>
    <col min="11026" max="11026" width="10.7109375" style="6" customWidth="1"/>
    <col min="11027" max="11028" width="9" style="6" customWidth="1"/>
    <col min="11029" max="11029" width="7.7109375" style="6" customWidth="1"/>
    <col min="11030" max="11030" width="9.28515625" style="6" customWidth="1"/>
    <col min="11031" max="11031" width="11" style="6" customWidth="1"/>
    <col min="11032" max="11046" width="7.85546875" style="6" customWidth="1"/>
    <col min="11047" max="11047" width="9.140625" style="6"/>
    <col min="11048" max="11048" width="4.140625" style="6" customWidth="1"/>
    <col min="11049" max="11264" width="9.140625" style="6"/>
    <col min="11265" max="11265" width="34.28515625" style="6" customWidth="1"/>
    <col min="11266" max="11276" width="7.7109375" style="6" customWidth="1"/>
    <col min="11277" max="11281" width="9" style="6" customWidth="1"/>
    <col min="11282" max="11282" width="10.7109375" style="6" customWidth="1"/>
    <col min="11283" max="11284" width="9" style="6" customWidth="1"/>
    <col min="11285" max="11285" width="7.7109375" style="6" customWidth="1"/>
    <col min="11286" max="11286" width="9.28515625" style="6" customWidth="1"/>
    <col min="11287" max="11287" width="11" style="6" customWidth="1"/>
    <col min="11288" max="11302" width="7.85546875" style="6" customWidth="1"/>
    <col min="11303" max="11303" width="9.140625" style="6"/>
    <col min="11304" max="11304" width="4.140625" style="6" customWidth="1"/>
    <col min="11305" max="11520" width="9.140625" style="6"/>
    <col min="11521" max="11521" width="34.28515625" style="6" customWidth="1"/>
    <col min="11522" max="11532" width="7.7109375" style="6" customWidth="1"/>
    <col min="11533" max="11537" width="9" style="6" customWidth="1"/>
    <col min="11538" max="11538" width="10.7109375" style="6" customWidth="1"/>
    <col min="11539" max="11540" width="9" style="6" customWidth="1"/>
    <col min="11541" max="11541" width="7.7109375" style="6" customWidth="1"/>
    <col min="11542" max="11542" width="9.28515625" style="6" customWidth="1"/>
    <col min="11543" max="11543" width="11" style="6" customWidth="1"/>
    <col min="11544" max="11558" width="7.85546875" style="6" customWidth="1"/>
    <col min="11559" max="11559" width="9.140625" style="6"/>
    <col min="11560" max="11560" width="4.140625" style="6" customWidth="1"/>
    <col min="11561" max="11776" width="9.140625" style="6"/>
    <col min="11777" max="11777" width="34.28515625" style="6" customWidth="1"/>
    <col min="11778" max="11788" width="7.7109375" style="6" customWidth="1"/>
    <col min="11789" max="11793" width="9" style="6" customWidth="1"/>
    <col min="11794" max="11794" width="10.7109375" style="6" customWidth="1"/>
    <col min="11795" max="11796" width="9" style="6" customWidth="1"/>
    <col min="11797" max="11797" width="7.7109375" style="6" customWidth="1"/>
    <col min="11798" max="11798" width="9.28515625" style="6" customWidth="1"/>
    <col min="11799" max="11799" width="11" style="6" customWidth="1"/>
    <col min="11800" max="11814" width="7.85546875" style="6" customWidth="1"/>
    <col min="11815" max="11815" width="9.140625" style="6"/>
    <col min="11816" max="11816" width="4.140625" style="6" customWidth="1"/>
    <col min="11817" max="12032" width="9.140625" style="6"/>
    <col min="12033" max="12033" width="34.28515625" style="6" customWidth="1"/>
    <col min="12034" max="12044" width="7.7109375" style="6" customWidth="1"/>
    <col min="12045" max="12049" width="9" style="6" customWidth="1"/>
    <col min="12050" max="12050" width="10.7109375" style="6" customWidth="1"/>
    <col min="12051" max="12052" width="9" style="6" customWidth="1"/>
    <col min="12053" max="12053" width="7.7109375" style="6" customWidth="1"/>
    <col min="12054" max="12054" width="9.28515625" style="6" customWidth="1"/>
    <col min="12055" max="12055" width="11" style="6" customWidth="1"/>
    <col min="12056" max="12070" width="7.85546875" style="6" customWidth="1"/>
    <col min="12071" max="12071" width="9.140625" style="6"/>
    <col min="12072" max="12072" width="4.140625" style="6" customWidth="1"/>
    <col min="12073" max="12288" width="9.140625" style="6"/>
    <col min="12289" max="12289" width="34.28515625" style="6" customWidth="1"/>
    <col min="12290" max="12300" width="7.7109375" style="6" customWidth="1"/>
    <col min="12301" max="12305" width="9" style="6" customWidth="1"/>
    <col min="12306" max="12306" width="10.7109375" style="6" customWidth="1"/>
    <col min="12307" max="12308" width="9" style="6" customWidth="1"/>
    <col min="12309" max="12309" width="7.7109375" style="6" customWidth="1"/>
    <col min="12310" max="12310" width="9.28515625" style="6" customWidth="1"/>
    <col min="12311" max="12311" width="11" style="6" customWidth="1"/>
    <col min="12312" max="12326" width="7.85546875" style="6" customWidth="1"/>
    <col min="12327" max="12327" width="9.140625" style="6"/>
    <col min="12328" max="12328" width="4.140625" style="6" customWidth="1"/>
    <col min="12329" max="12544" width="9.140625" style="6"/>
    <col min="12545" max="12545" width="34.28515625" style="6" customWidth="1"/>
    <col min="12546" max="12556" width="7.7109375" style="6" customWidth="1"/>
    <col min="12557" max="12561" width="9" style="6" customWidth="1"/>
    <col min="12562" max="12562" width="10.7109375" style="6" customWidth="1"/>
    <col min="12563" max="12564" width="9" style="6" customWidth="1"/>
    <col min="12565" max="12565" width="7.7109375" style="6" customWidth="1"/>
    <col min="12566" max="12566" width="9.28515625" style="6" customWidth="1"/>
    <col min="12567" max="12567" width="11" style="6" customWidth="1"/>
    <col min="12568" max="12582" width="7.85546875" style="6" customWidth="1"/>
    <col min="12583" max="12583" width="9.140625" style="6"/>
    <col min="12584" max="12584" width="4.140625" style="6" customWidth="1"/>
    <col min="12585" max="12800" width="9.140625" style="6"/>
    <col min="12801" max="12801" width="34.28515625" style="6" customWidth="1"/>
    <col min="12802" max="12812" width="7.7109375" style="6" customWidth="1"/>
    <col min="12813" max="12817" width="9" style="6" customWidth="1"/>
    <col min="12818" max="12818" width="10.7109375" style="6" customWidth="1"/>
    <col min="12819" max="12820" width="9" style="6" customWidth="1"/>
    <col min="12821" max="12821" width="7.7109375" style="6" customWidth="1"/>
    <col min="12822" max="12822" width="9.28515625" style="6" customWidth="1"/>
    <col min="12823" max="12823" width="11" style="6" customWidth="1"/>
    <col min="12824" max="12838" width="7.85546875" style="6" customWidth="1"/>
    <col min="12839" max="12839" width="9.140625" style="6"/>
    <col min="12840" max="12840" width="4.140625" style="6" customWidth="1"/>
    <col min="12841" max="13056" width="9.140625" style="6"/>
    <col min="13057" max="13057" width="34.28515625" style="6" customWidth="1"/>
    <col min="13058" max="13068" width="7.7109375" style="6" customWidth="1"/>
    <col min="13069" max="13073" width="9" style="6" customWidth="1"/>
    <col min="13074" max="13074" width="10.7109375" style="6" customWidth="1"/>
    <col min="13075" max="13076" width="9" style="6" customWidth="1"/>
    <col min="13077" max="13077" width="7.7109375" style="6" customWidth="1"/>
    <col min="13078" max="13078" width="9.28515625" style="6" customWidth="1"/>
    <col min="13079" max="13079" width="11" style="6" customWidth="1"/>
    <col min="13080" max="13094" width="7.85546875" style="6" customWidth="1"/>
    <col min="13095" max="13095" width="9.140625" style="6"/>
    <col min="13096" max="13096" width="4.140625" style="6" customWidth="1"/>
    <col min="13097" max="13312" width="9.140625" style="6"/>
    <col min="13313" max="13313" width="34.28515625" style="6" customWidth="1"/>
    <col min="13314" max="13324" width="7.7109375" style="6" customWidth="1"/>
    <col min="13325" max="13329" width="9" style="6" customWidth="1"/>
    <col min="13330" max="13330" width="10.7109375" style="6" customWidth="1"/>
    <col min="13331" max="13332" width="9" style="6" customWidth="1"/>
    <col min="13333" max="13333" width="7.7109375" style="6" customWidth="1"/>
    <col min="13334" max="13334" width="9.28515625" style="6" customWidth="1"/>
    <col min="13335" max="13335" width="11" style="6" customWidth="1"/>
    <col min="13336" max="13350" width="7.85546875" style="6" customWidth="1"/>
    <col min="13351" max="13351" width="9.140625" style="6"/>
    <col min="13352" max="13352" width="4.140625" style="6" customWidth="1"/>
    <col min="13353" max="13568" width="9.140625" style="6"/>
    <col min="13569" max="13569" width="34.28515625" style="6" customWidth="1"/>
    <col min="13570" max="13580" width="7.7109375" style="6" customWidth="1"/>
    <col min="13581" max="13585" width="9" style="6" customWidth="1"/>
    <col min="13586" max="13586" width="10.7109375" style="6" customWidth="1"/>
    <col min="13587" max="13588" width="9" style="6" customWidth="1"/>
    <col min="13589" max="13589" width="7.7109375" style="6" customWidth="1"/>
    <col min="13590" max="13590" width="9.28515625" style="6" customWidth="1"/>
    <col min="13591" max="13591" width="11" style="6" customWidth="1"/>
    <col min="13592" max="13606" width="7.85546875" style="6" customWidth="1"/>
    <col min="13607" max="13607" width="9.140625" style="6"/>
    <col min="13608" max="13608" width="4.140625" style="6" customWidth="1"/>
    <col min="13609" max="13824" width="9.140625" style="6"/>
    <col min="13825" max="13825" width="34.28515625" style="6" customWidth="1"/>
    <col min="13826" max="13836" width="7.7109375" style="6" customWidth="1"/>
    <col min="13837" max="13841" width="9" style="6" customWidth="1"/>
    <col min="13842" max="13842" width="10.7109375" style="6" customWidth="1"/>
    <col min="13843" max="13844" width="9" style="6" customWidth="1"/>
    <col min="13845" max="13845" width="7.7109375" style="6" customWidth="1"/>
    <col min="13846" max="13846" width="9.28515625" style="6" customWidth="1"/>
    <col min="13847" max="13847" width="11" style="6" customWidth="1"/>
    <col min="13848" max="13862" width="7.85546875" style="6" customWidth="1"/>
    <col min="13863" max="13863" width="9.140625" style="6"/>
    <col min="13864" max="13864" width="4.140625" style="6" customWidth="1"/>
    <col min="13865" max="14080" width="9.140625" style="6"/>
    <col min="14081" max="14081" width="34.28515625" style="6" customWidth="1"/>
    <col min="14082" max="14092" width="7.7109375" style="6" customWidth="1"/>
    <col min="14093" max="14097" width="9" style="6" customWidth="1"/>
    <col min="14098" max="14098" width="10.7109375" style="6" customWidth="1"/>
    <col min="14099" max="14100" width="9" style="6" customWidth="1"/>
    <col min="14101" max="14101" width="7.7109375" style="6" customWidth="1"/>
    <col min="14102" max="14102" width="9.28515625" style="6" customWidth="1"/>
    <col min="14103" max="14103" width="11" style="6" customWidth="1"/>
    <col min="14104" max="14118" width="7.85546875" style="6" customWidth="1"/>
    <col min="14119" max="14119" width="9.140625" style="6"/>
    <col min="14120" max="14120" width="4.140625" style="6" customWidth="1"/>
    <col min="14121" max="14336" width="9.140625" style="6"/>
    <col min="14337" max="14337" width="34.28515625" style="6" customWidth="1"/>
    <col min="14338" max="14348" width="7.7109375" style="6" customWidth="1"/>
    <col min="14349" max="14353" width="9" style="6" customWidth="1"/>
    <col min="14354" max="14354" width="10.7109375" style="6" customWidth="1"/>
    <col min="14355" max="14356" width="9" style="6" customWidth="1"/>
    <col min="14357" max="14357" width="7.7109375" style="6" customWidth="1"/>
    <col min="14358" max="14358" width="9.28515625" style="6" customWidth="1"/>
    <col min="14359" max="14359" width="11" style="6" customWidth="1"/>
    <col min="14360" max="14374" width="7.85546875" style="6" customWidth="1"/>
    <col min="14375" max="14375" width="9.140625" style="6"/>
    <col min="14376" max="14376" width="4.140625" style="6" customWidth="1"/>
    <col min="14377" max="14592" width="9.140625" style="6"/>
    <col min="14593" max="14593" width="34.28515625" style="6" customWidth="1"/>
    <col min="14594" max="14604" width="7.7109375" style="6" customWidth="1"/>
    <col min="14605" max="14609" width="9" style="6" customWidth="1"/>
    <col min="14610" max="14610" width="10.7109375" style="6" customWidth="1"/>
    <col min="14611" max="14612" width="9" style="6" customWidth="1"/>
    <col min="14613" max="14613" width="7.7109375" style="6" customWidth="1"/>
    <col min="14614" max="14614" width="9.28515625" style="6" customWidth="1"/>
    <col min="14615" max="14615" width="11" style="6" customWidth="1"/>
    <col min="14616" max="14630" width="7.85546875" style="6" customWidth="1"/>
    <col min="14631" max="14631" width="9.140625" style="6"/>
    <col min="14632" max="14632" width="4.140625" style="6" customWidth="1"/>
    <col min="14633" max="14848" width="9.140625" style="6"/>
    <col min="14849" max="14849" width="34.28515625" style="6" customWidth="1"/>
    <col min="14850" max="14860" width="7.7109375" style="6" customWidth="1"/>
    <col min="14861" max="14865" width="9" style="6" customWidth="1"/>
    <col min="14866" max="14866" width="10.7109375" style="6" customWidth="1"/>
    <col min="14867" max="14868" width="9" style="6" customWidth="1"/>
    <col min="14869" max="14869" width="7.7109375" style="6" customWidth="1"/>
    <col min="14870" max="14870" width="9.28515625" style="6" customWidth="1"/>
    <col min="14871" max="14871" width="11" style="6" customWidth="1"/>
    <col min="14872" max="14886" width="7.85546875" style="6" customWidth="1"/>
    <col min="14887" max="14887" width="9.140625" style="6"/>
    <col min="14888" max="14888" width="4.140625" style="6" customWidth="1"/>
    <col min="14889" max="15104" width="9.140625" style="6"/>
    <col min="15105" max="15105" width="34.28515625" style="6" customWidth="1"/>
    <col min="15106" max="15116" width="7.7109375" style="6" customWidth="1"/>
    <col min="15117" max="15121" width="9" style="6" customWidth="1"/>
    <col min="15122" max="15122" width="10.7109375" style="6" customWidth="1"/>
    <col min="15123" max="15124" width="9" style="6" customWidth="1"/>
    <col min="15125" max="15125" width="7.7109375" style="6" customWidth="1"/>
    <col min="15126" max="15126" width="9.28515625" style="6" customWidth="1"/>
    <col min="15127" max="15127" width="11" style="6" customWidth="1"/>
    <col min="15128" max="15142" width="7.85546875" style="6" customWidth="1"/>
    <col min="15143" max="15143" width="9.140625" style="6"/>
    <col min="15144" max="15144" width="4.140625" style="6" customWidth="1"/>
    <col min="15145" max="15360" width="9.140625" style="6"/>
    <col min="15361" max="15361" width="34.28515625" style="6" customWidth="1"/>
    <col min="15362" max="15372" width="7.7109375" style="6" customWidth="1"/>
    <col min="15373" max="15377" width="9" style="6" customWidth="1"/>
    <col min="15378" max="15378" width="10.7109375" style="6" customWidth="1"/>
    <col min="15379" max="15380" width="9" style="6" customWidth="1"/>
    <col min="15381" max="15381" width="7.7109375" style="6" customWidth="1"/>
    <col min="15382" max="15382" width="9.28515625" style="6" customWidth="1"/>
    <col min="15383" max="15383" width="11" style="6" customWidth="1"/>
    <col min="15384" max="15398" width="7.85546875" style="6" customWidth="1"/>
    <col min="15399" max="15399" width="9.140625" style="6"/>
    <col min="15400" max="15400" width="4.140625" style="6" customWidth="1"/>
    <col min="15401" max="15616" width="9.140625" style="6"/>
    <col min="15617" max="15617" width="34.28515625" style="6" customWidth="1"/>
    <col min="15618" max="15628" width="7.7109375" style="6" customWidth="1"/>
    <col min="15629" max="15633" width="9" style="6" customWidth="1"/>
    <col min="15634" max="15634" width="10.7109375" style="6" customWidth="1"/>
    <col min="15635" max="15636" width="9" style="6" customWidth="1"/>
    <col min="15637" max="15637" width="7.7109375" style="6" customWidth="1"/>
    <col min="15638" max="15638" width="9.28515625" style="6" customWidth="1"/>
    <col min="15639" max="15639" width="11" style="6" customWidth="1"/>
    <col min="15640" max="15654" width="7.85546875" style="6" customWidth="1"/>
    <col min="15655" max="15655" width="9.140625" style="6"/>
    <col min="15656" max="15656" width="4.140625" style="6" customWidth="1"/>
    <col min="15657" max="15872" width="9.140625" style="6"/>
    <col min="15873" max="15873" width="34.28515625" style="6" customWidth="1"/>
    <col min="15874" max="15884" width="7.7109375" style="6" customWidth="1"/>
    <col min="15885" max="15889" width="9" style="6" customWidth="1"/>
    <col min="15890" max="15890" width="10.7109375" style="6" customWidth="1"/>
    <col min="15891" max="15892" width="9" style="6" customWidth="1"/>
    <col min="15893" max="15893" width="7.7109375" style="6" customWidth="1"/>
    <col min="15894" max="15894" width="9.28515625" style="6" customWidth="1"/>
    <col min="15895" max="15895" width="11" style="6" customWidth="1"/>
    <col min="15896" max="15910" width="7.85546875" style="6" customWidth="1"/>
    <col min="15911" max="15911" width="9.140625" style="6"/>
    <col min="15912" max="15912" width="4.140625" style="6" customWidth="1"/>
    <col min="15913" max="16128" width="9.140625" style="6"/>
    <col min="16129" max="16129" width="34.28515625" style="6" customWidth="1"/>
    <col min="16130" max="16140" width="7.7109375" style="6" customWidth="1"/>
    <col min="16141" max="16145" width="9" style="6" customWidth="1"/>
    <col min="16146" max="16146" width="10.7109375" style="6" customWidth="1"/>
    <col min="16147" max="16148" width="9" style="6" customWidth="1"/>
    <col min="16149" max="16149" width="7.7109375" style="6" customWidth="1"/>
    <col min="16150" max="16150" width="9.28515625" style="6" customWidth="1"/>
    <col min="16151" max="16151" width="11" style="6" customWidth="1"/>
    <col min="16152" max="16166" width="7.85546875" style="6" customWidth="1"/>
    <col min="16167" max="16167" width="9.140625" style="6"/>
    <col min="16168" max="16168" width="4.140625" style="6" customWidth="1"/>
    <col min="16169" max="16384" width="9.140625" style="6"/>
  </cols>
  <sheetData>
    <row r="1" spans="1:28" x14ac:dyDescent="0.2">
      <c r="A1" s="5" t="s">
        <v>619</v>
      </c>
      <c r="R1" s="7"/>
      <c r="S1" s="7"/>
      <c r="V1" s="8"/>
    </row>
    <row r="2" spans="1:28" ht="6.75" customHeight="1" thickBot="1" x14ac:dyDescent="0.25">
      <c r="A2" s="9"/>
    </row>
    <row r="3" spans="1:28" ht="12.75" customHeight="1" thickTop="1" thickBot="1" x14ac:dyDescent="0.25">
      <c r="A3" s="10"/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35</v>
      </c>
      <c r="Q3" s="13" t="s">
        <v>542</v>
      </c>
      <c r="R3" s="13" t="s">
        <v>544</v>
      </c>
      <c r="S3" s="13" t="s">
        <v>551</v>
      </c>
      <c r="T3" s="13" t="s">
        <v>561</v>
      </c>
      <c r="U3" s="13" t="s">
        <v>586</v>
      </c>
      <c r="V3" s="13" t="s">
        <v>590</v>
      </c>
      <c r="W3" s="13" t="s">
        <v>593</v>
      </c>
      <c r="X3" s="13" t="s">
        <v>596</v>
      </c>
      <c r="Y3" s="13" t="s">
        <v>603</v>
      </c>
      <c r="Z3" s="13" t="s">
        <v>606</v>
      </c>
      <c r="AA3" s="13" t="s">
        <v>611</v>
      </c>
      <c r="AB3" s="14" t="s">
        <v>618</v>
      </c>
    </row>
    <row r="4" spans="1:28" ht="12.75" customHeight="1" thickTop="1" x14ac:dyDescent="0.2">
      <c r="A4" s="15" t="s">
        <v>18</v>
      </c>
      <c r="B4" s="16">
        <v>233.8</v>
      </c>
      <c r="C4" s="17">
        <v>208.2</v>
      </c>
      <c r="D4" s="17">
        <v>237.452</v>
      </c>
      <c r="E4" s="17">
        <v>234</v>
      </c>
      <c r="F4" s="17">
        <v>253.3</v>
      </c>
      <c r="G4" s="17">
        <v>285</v>
      </c>
      <c r="H4" s="17">
        <v>294.8</v>
      </c>
      <c r="I4" s="17">
        <v>303.3</v>
      </c>
      <c r="J4" s="17">
        <v>323.7</v>
      </c>
      <c r="K4" s="18">
        <v>320.36500000000001</v>
      </c>
      <c r="L4" s="18">
        <f>324993/1000</f>
        <v>324.99299999999999</v>
      </c>
      <c r="M4" s="18">
        <v>331.536</v>
      </c>
      <c r="N4" s="18">
        <v>330.06599999999997</v>
      </c>
      <c r="O4" s="18">
        <v>309.452</v>
      </c>
      <c r="P4" s="18">
        <v>291</v>
      </c>
      <c r="Q4" s="18">
        <v>260.46699999999998</v>
      </c>
      <c r="R4" s="18">
        <v>243.71799999999999</v>
      </c>
      <c r="S4" s="18">
        <v>224.15100000000001</v>
      </c>
      <c r="T4" s="18">
        <v>213.31700000000001</v>
      </c>
      <c r="U4" s="18">
        <v>204.053</v>
      </c>
      <c r="V4" s="18">
        <v>211.447</v>
      </c>
      <c r="W4" s="18">
        <v>211.447</v>
      </c>
      <c r="X4" s="18">
        <v>228.483</v>
      </c>
      <c r="Y4" s="18">
        <v>229.77500000000001</v>
      </c>
      <c r="Z4" s="18">
        <v>246.7878</v>
      </c>
      <c r="AA4" s="18">
        <v>256.02499999999998</v>
      </c>
      <c r="AB4" s="19">
        <v>271.18299999999999</v>
      </c>
    </row>
    <row r="5" spans="1:28" ht="12.75" customHeight="1" x14ac:dyDescent="0.2">
      <c r="A5" s="20" t="s">
        <v>19</v>
      </c>
      <c r="B5" s="21">
        <v>105.4</v>
      </c>
      <c r="C5" s="22">
        <v>103.5</v>
      </c>
      <c r="D5" s="22">
        <v>105</v>
      </c>
      <c r="E5" s="22">
        <v>108.8</v>
      </c>
      <c r="F5" s="22">
        <v>117.5</v>
      </c>
      <c r="G5" s="22">
        <v>130.4</v>
      </c>
      <c r="H5" s="22">
        <v>130.9</v>
      </c>
      <c r="I5" s="22">
        <v>137.80000000000001</v>
      </c>
      <c r="J5" s="22">
        <v>146.80000000000001</v>
      </c>
      <c r="K5" s="23">
        <v>147.27600000000001</v>
      </c>
      <c r="L5" s="23">
        <f>146620/1000</f>
        <v>146.62</v>
      </c>
      <c r="M5" s="23">
        <v>150.58799999999999</v>
      </c>
      <c r="N5" s="23">
        <v>149.613</v>
      </c>
      <c r="O5" s="23">
        <f>+'vš_druh studia '!E93/1000</f>
        <v>141.054</v>
      </c>
      <c r="P5" s="23">
        <f>+'vš_druh studia '!E101/1000</f>
        <v>134.25700000000001</v>
      </c>
      <c r="Q5" s="23">
        <v>121.761</v>
      </c>
      <c r="R5" s="23">
        <v>113.093</v>
      </c>
      <c r="S5" s="23">
        <v>102.791</v>
      </c>
      <c r="T5" s="23">
        <v>97.998000000000005</v>
      </c>
      <c r="U5" s="23">
        <v>95.137</v>
      </c>
      <c r="V5" s="23">
        <v>98.126999999999995</v>
      </c>
      <c r="W5" s="23">
        <v>98.867999999999995</v>
      </c>
      <c r="X5" s="23">
        <v>102.355</v>
      </c>
      <c r="Y5" s="23">
        <v>100.738</v>
      </c>
      <c r="Z5" s="23">
        <v>104.596</v>
      </c>
      <c r="AA5" s="23">
        <v>107.14</v>
      </c>
      <c r="AB5" s="24">
        <v>111.357</v>
      </c>
    </row>
    <row r="6" spans="1:28" ht="12.75" customHeight="1" x14ac:dyDescent="0.2">
      <c r="A6" s="25" t="s">
        <v>20</v>
      </c>
      <c r="B6" s="21" t="s">
        <v>21</v>
      </c>
      <c r="C6" s="22">
        <v>94.1</v>
      </c>
      <c r="D6" s="22">
        <v>90</v>
      </c>
      <c r="E6" s="22">
        <v>98.3</v>
      </c>
      <c r="F6" s="22">
        <v>107.2</v>
      </c>
      <c r="G6" s="22">
        <v>119.4</v>
      </c>
      <c r="H6" s="22">
        <v>119.7</v>
      </c>
      <c r="I6" s="22">
        <v>127.1</v>
      </c>
      <c r="J6" s="22">
        <v>135.19999999999999</v>
      </c>
      <c r="K6" s="23">
        <v>136.11600000000001</v>
      </c>
      <c r="L6" s="23">
        <f>136767/1000</f>
        <v>136.767</v>
      </c>
      <c r="M6" s="23">
        <v>140.072</v>
      </c>
      <c r="N6" s="23">
        <v>139.28</v>
      </c>
      <c r="O6" s="23">
        <f>+'vš_druh studia '!H93/1000</f>
        <v>130.72800000000001</v>
      </c>
      <c r="P6" s="23">
        <f>+'vš_druh studia '!H101/1000</f>
        <v>123.76600000000001</v>
      </c>
      <c r="Q6" s="23">
        <v>111.374</v>
      </c>
      <c r="R6" s="23">
        <v>103.44199999999999</v>
      </c>
      <c r="S6" s="23">
        <v>94.067999999999998</v>
      </c>
      <c r="T6" s="23">
        <v>90.528000000000006</v>
      </c>
      <c r="U6" s="23">
        <v>88.116</v>
      </c>
      <c r="V6" s="23">
        <v>91.75</v>
      </c>
      <c r="W6" s="23">
        <v>94.769000000000005</v>
      </c>
      <c r="X6" s="23">
        <v>97.078000000000003</v>
      </c>
      <c r="Y6" s="23">
        <v>93.790999999999997</v>
      </c>
      <c r="Z6" s="23">
        <v>97.644999999999996</v>
      </c>
      <c r="AA6" s="23">
        <v>100.19199999999999</v>
      </c>
      <c r="AB6" s="24">
        <v>104.652</v>
      </c>
    </row>
    <row r="7" spans="1:28" ht="12.75" customHeight="1" x14ac:dyDescent="0.2">
      <c r="A7" s="20" t="s">
        <v>22</v>
      </c>
      <c r="B7" s="21">
        <v>47.4</v>
      </c>
      <c r="C7" s="22">
        <v>45.2</v>
      </c>
      <c r="D7" s="22">
        <v>54.676000000000002</v>
      </c>
      <c r="E7" s="22">
        <v>61.1</v>
      </c>
      <c r="F7" s="22">
        <v>69.599999999999994</v>
      </c>
      <c r="G7" s="22">
        <v>75.599999999999994</v>
      </c>
      <c r="H7" s="22">
        <v>80</v>
      </c>
      <c r="I7" s="22">
        <v>89.1</v>
      </c>
      <c r="J7" s="22">
        <v>97.2</v>
      </c>
      <c r="K7" s="23">
        <v>104.003</v>
      </c>
      <c r="L7" s="23">
        <f>105570/1000</f>
        <v>105.57</v>
      </c>
      <c r="M7" s="23">
        <v>106.437</v>
      </c>
      <c r="N7" s="23">
        <v>103.761</v>
      </c>
      <c r="O7" s="23">
        <f>+'vš_druh studia '!K93/1000</f>
        <v>98.260999999999996</v>
      </c>
      <c r="P7" s="23">
        <f>+'vš_druh studia '!K101/1000</f>
        <v>93.713999999999999</v>
      </c>
      <c r="Q7" s="23">
        <v>84.763999999999996</v>
      </c>
      <c r="R7" s="23">
        <v>80.302000000000007</v>
      </c>
      <c r="S7" s="23">
        <v>74.766999999999996</v>
      </c>
      <c r="T7" s="23">
        <v>74.623000000000005</v>
      </c>
      <c r="U7" s="23">
        <v>73.349999999999994</v>
      </c>
      <c r="V7" s="23">
        <v>77.484999999999999</v>
      </c>
      <c r="W7" s="23">
        <v>79.8</v>
      </c>
      <c r="X7" s="23">
        <v>79.620999999999995</v>
      </c>
      <c r="Y7" s="23">
        <v>76.138000000000005</v>
      </c>
      <c r="Z7" s="23">
        <v>78.75</v>
      </c>
      <c r="AA7" s="23">
        <v>81.427999999999997</v>
      </c>
      <c r="AB7" s="24">
        <v>86.281000000000006</v>
      </c>
    </row>
    <row r="8" spans="1:28" ht="12.75" customHeight="1" thickBot="1" x14ac:dyDescent="0.25">
      <c r="A8" s="28" t="s">
        <v>23</v>
      </c>
      <c r="B8" s="29">
        <v>43.2</v>
      </c>
      <c r="C8" s="30">
        <v>43.7</v>
      </c>
      <c r="D8" s="30">
        <v>52.527000000000001</v>
      </c>
      <c r="E8" s="30">
        <v>58.3</v>
      </c>
      <c r="F8" s="30">
        <v>66.5</v>
      </c>
      <c r="G8" s="30">
        <v>72.2</v>
      </c>
      <c r="H8" s="30">
        <v>76.2</v>
      </c>
      <c r="I8" s="30">
        <v>85.5</v>
      </c>
      <c r="J8" s="30">
        <v>92.7</v>
      </c>
      <c r="K8" s="31">
        <v>98.725999999999999</v>
      </c>
      <c r="L8" s="31">
        <f>99818/1000</f>
        <v>99.817999999999998</v>
      </c>
      <c r="M8" s="31">
        <v>100.676</v>
      </c>
      <c r="N8" s="31">
        <v>97.837000000000003</v>
      </c>
      <c r="O8" s="31">
        <f>+'vš_druh studia '!L93/1000</f>
        <v>92.427999999999997</v>
      </c>
      <c r="P8" s="31">
        <f>+'vš_druh studia '!L101/1000</f>
        <v>88.108999999999995</v>
      </c>
      <c r="Q8" s="31">
        <v>79.072999999999993</v>
      </c>
      <c r="R8" s="31">
        <v>74.832999999999998</v>
      </c>
      <c r="S8" s="31">
        <v>69.838999999999999</v>
      </c>
      <c r="T8" s="31">
        <v>69.911000000000001</v>
      </c>
      <c r="U8" s="31">
        <v>68.753</v>
      </c>
      <c r="V8" s="31">
        <v>72.73</v>
      </c>
      <c r="W8" s="31">
        <v>75.605000000000004</v>
      </c>
      <c r="X8" s="31">
        <v>75.265000000000001</v>
      </c>
      <c r="Y8" s="31">
        <v>72.712999999999994</v>
      </c>
      <c r="Z8" s="31">
        <v>75.215000000000003</v>
      </c>
      <c r="AA8" s="31">
        <v>77.671000000000006</v>
      </c>
      <c r="AB8" s="32">
        <v>82.322999999999993</v>
      </c>
    </row>
    <row r="9" spans="1:28" ht="4.5" customHeight="1" thickTop="1" x14ac:dyDescent="0.2">
      <c r="A9" s="33"/>
      <c r="B9" s="34"/>
      <c r="C9" s="34"/>
      <c r="D9" s="34"/>
      <c r="E9" s="34"/>
      <c r="F9" s="34"/>
      <c r="G9" s="34"/>
      <c r="H9" s="34"/>
      <c r="I9" s="34"/>
      <c r="J9" s="34"/>
      <c r="K9" s="34"/>
      <c r="L9" s="8"/>
    </row>
    <row r="10" spans="1:28" ht="12.75" customHeight="1" x14ac:dyDescent="0.2">
      <c r="A10" s="35" t="s">
        <v>24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8"/>
    </row>
    <row r="11" spans="1:28" x14ac:dyDescent="0.2">
      <c r="A11" s="37"/>
      <c r="B11" s="37"/>
      <c r="C11" s="37"/>
      <c r="D11" s="37"/>
      <c r="E11" s="37"/>
      <c r="F11" s="37"/>
      <c r="G11" s="37"/>
      <c r="H11" s="37"/>
      <c r="I11" s="37"/>
      <c r="J11" s="37"/>
    </row>
    <row r="12" spans="1:28" ht="30" customHeight="1" x14ac:dyDescent="0.2">
      <c r="A12" s="675" t="s">
        <v>620</v>
      </c>
      <c r="B12" s="676"/>
      <c r="C12" s="676"/>
      <c r="D12" s="676"/>
      <c r="E12" s="676"/>
      <c r="F12" s="676"/>
      <c r="G12" s="676"/>
      <c r="H12" s="676"/>
      <c r="I12" s="676"/>
      <c r="J12" s="676"/>
      <c r="K12" s="676"/>
      <c r="L12" s="676"/>
    </row>
    <row r="13" spans="1:28" ht="6.75" customHeight="1" thickBot="1" x14ac:dyDescent="0.25"/>
    <row r="14" spans="1:28" ht="12.75" customHeight="1" thickTop="1" thickBot="1" x14ac:dyDescent="0.25">
      <c r="A14" s="10"/>
      <c r="B14" s="38" t="s">
        <v>25</v>
      </c>
      <c r="C14" s="39" t="s">
        <v>5</v>
      </c>
      <c r="D14" s="40" t="s">
        <v>6</v>
      </c>
      <c r="E14" s="40" t="s">
        <v>7</v>
      </c>
      <c r="F14" s="40" t="s">
        <v>8</v>
      </c>
      <c r="G14" s="40" t="s">
        <v>9</v>
      </c>
      <c r="H14" s="40" t="s">
        <v>10</v>
      </c>
      <c r="I14" s="40" t="s">
        <v>11</v>
      </c>
      <c r="J14" s="40" t="s">
        <v>12</v>
      </c>
      <c r="K14" s="41" t="s">
        <v>13</v>
      </c>
      <c r="L14" s="41" t="s">
        <v>14</v>
      </c>
      <c r="M14" s="41" t="s">
        <v>15</v>
      </c>
      <c r="N14" s="41" t="s">
        <v>16</v>
      </c>
      <c r="O14" s="41" t="s">
        <v>17</v>
      </c>
      <c r="P14" s="613" t="s">
        <v>35</v>
      </c>
      <c r="Q14" s="613" t="s">
        <v>542</v>
      </c>
      <c r="R14" s="613" t="s">
        <v>544</v>
      </c>
      <c r="S14" s="613" t="s">
        <v>551</v>
      </c>
      <c r="T14" s="613" t="str">
        <f>T3</f>
        <v>2017/18</v>
      </c>
      <c r="U14" s="613" t="s">
        <v>586</v>
      </c>
      <c r="V14" s="613" t="s">
        <v>590</v>
      </c>
      <c r="W14" s="613" t="s">
        <v>590</v>
      </c>
      <c r="X14" s="613" t="s">
        <v>596</v>
      </c>
      <c r="Y14" s="613" t="s">
        <v>603</v>
      </c>
      <c r="Z14" s="613" t="s">
        <v>606</v>
      </c>
      <c r="AA14" s="613" t="s">
        <v>611</v>
      </c>
      <c r="AB14" s="14" t="s">
        <v>618</v>
      </c>
    </row>
    <row r="15" spans="1:28" ht="12.75" customHeight="1" thickTop="1" x14ac:dyDescent="0.2">
      <c r="A15" s="42" t="s">
        <v>26</v>
      </c>
      <c r="B15" s="43">
        <v>105.4</v>
      </c>
      <c r="C15" s="17">
        <v>103.5</v>
      </c>
      <c r="D15" s="17">
        <v>105</v>
      </c>
      <c r="E15" s="17">
        <v>108.8</v>
      </c>
      <c r="F15" s="17">
        <v>117.5</v>
      </c>
      <c r="G15" s="17">
        <v>130.4</v>
      </c>
      <c r="H15" s="17">
        <v>130.9</v>
      </c>
      <c r="I15" s="17">
        <v>137.80000000000001</v>
      </c>
      <c r="J15" s="17">
        <v>146.80000000000001</v>
      </c>
      <c r="K15" s="18">
        <v>147.27600000000001</v>
      </c>
      <c r="L15" s="44">
        <v>146.62</v>
      </c>
      <c r="M15" s="44">
        <v>150.58799999999999</v>
      </c>
      <c r="N15" s="44">
        <f t="shared" ref="N15:X15" si="0">+N5</f>
        <v>149.613</v>
      </c>
      <c r="O15" s="44">
        <f t="shared" si="0"/>
        <v>141.054</v>
      </c>
      <c r="P15" s="614">
        <f t="shared" si="0"/>
        <v>134.25700000000001</v>
      </c>
      <c r="Q15" s="614">
        <f t="shared" si="0"/>
        <v>121.761</v>
      </c>
      <c r="R15" s="614">
        <f t="shared" si="0"/>
        <v>113.093</v>
      </c>
      <c r="S15" s="614">
        <f t="shared" ref="S15" si="1">+S5</f>
        <v>102.791</v>
      </c>
      <c r="T15" s="614">
        <f t="shared" si="0"/>
        <v>97.998000000000005</v>
      </c>
      <c r="U15" s="614">
        <f t="shared" si="0"/>
        <v>95.137</v>
      </c>
      <c r="V15" s="614">
        <f t="shared" si="0"/>
        <v>98.126999999999995</v>
      </c>
      <c r="W15" s="614">
        <f t="shared" si="0"/>
        <v>98.867999999999995</v>
      </c>
      <c r="X15" s="614">
        <f t="shared" si="0"/>
        <v>102.355</v>
      </c>
      <c r="Y15" s="614">
        <f t="shared" ref="Y15" si="2">+Y5</f>
        <v>100.738</v>
      </c>
      <c r="Z15" s="614">
        <f t="shared" ref="Z15" si="3">+Z5</f>
        <v>104.596</v>
      </c>
      <c r="AA15" s="614">
        <v>107.14</v>
      </c>
      <c r="AB15" s="609">
        <v>111.357</v>
      </c>
    </row>
    <row r="16" spans="1:28" ht="12.75" customHeight="1" x14ac:dyDescent="0.2">
      <c r="A16" s="20" t="s">
        <v>27</v>
      </c>
      <c r="B16" s="46">
        <f>B15/B21</f>
        <v>0.74620525600362497</v>
      </c>
      <c r="C16" s="47">
        <f t="shared" ref="C16:L16" si="4">C15/C21</f>
        <v>0.74612878110672165</v>
      </c>
      <c r="D16" s="47">
        <f t="shared" si="4"/>
        <v>0.75158907404226072</v>
      </c>
      <c r="E16" s="47">
        <f t="shared" si="4"/>
        <v>0.8063500062996094</v>
      </c>
      <c r="F16" s="47">
        <f t="shared" si="4"/>
        <v>0.86538957260802651</v>
      </c>
      <c r="G16" s="47">
        <f t="shared" si="4"/>
        <v>0.96236162361623623</v>
      </c>
      <c r="H16" s="47">
        <f t="shared" si="4"/>
        <v>0.98377411524211067</v>
      </c>
      <c r="I16" s="47">
        <f t="shared" si="4"/>
        <v>1.0493531019882882</v>
      </c>
      <c r="J16" s="47">
        <f t="shared" si="4"/>
        <v>1.0878425444251776</v>
      </c>
      <c r="K16" s="48">
        <v>1.1390255220417633</v>
      </c>
      <c r="L16" s="48">
        <f t="shared" si="4"/>
        <v>1.1061068990230469</v>
      </c>
      <c r="M16" s="48">
        <f t="shared" ref="M16:R16" si="5">M15/M21</f>
        <v>1.1513284146947513</v>
      </c>
      <c r="N16" s="48">
        <f t="shared" si="5"/>
        <v>1.212167614603082</v>
      </c>
      <c r="O16" s="48">
        <f t="shared" si="5"/>
        <v>1.1485640303235105</v>
      </c>
      <c r="P16" s="47">
        <f t="shared" si="5"/>
        <v>1.2312750483771862</v>
      </c>
      <c r="Q16" s="47">
        <f t="shared" si="5"/>
        <v>1.2327356666295446</v>
      </c>
      <c r="R16" s="47">
        <f t="shared" si="5"/>
        <v>1.211468420601594</v>
      </c>
      <c r="S16" s="47">
        <f t="shared" ref="S16:T16" si="6">S15/S21</f>
        <v>1.1037248606801173</v>
      </c>
      <c r="T16" s="47">
        <f t="shared" si="6"/>
        <v>1.0560243106067952</v>
      </c>
      <c r="U16" s="47">
        <f t="shared" ref="U16:X16" si="7">U15/U21</f>
        <v>1.0324817676679978</v>
      </c>
      <c r="V16" s="47">
        <f t="shared" si="7"/>
        <v>1.0395249798720285</v>
      </c>
      <c r="W16" s="47">
        <f t="shared" si="7"/>
        <v>1.0337731863903468</v>
      </c>
      <c r="X16" s="47">
        <f t="shared" si="7"/>
        <v>1.0563496568450386</v>
      </c>
      <c r="Y16" s="47">
        <f t="shared" ref="Y16:AA16" si="8">Y15/Y21</f>
        <v>0.97163359986110975</v>
      </c>
      <c r="Z16" s="47">
        <f t="shared" ref="Z16" si="9">Z15/Z21</f>
        <v>0.94310497177790198</v>
      </c>
      <c r="AA16" s="47">
        <f t="shared" si="8"/>
        <v>0.91835597651395018</v>
      </c>
      <c r="AB16" s="610">
        <f t="shared" ref="AB16" si="10">AB15/AB21</f>
        <v>0.89788102110915802</v>
      </c>
    </row>
    <row r="17" spans="1:28" ht="12.75" customHeight="1" x14ac:dyDescent="0.2">
      <c r="A17" s="50" t="s">
        <v>28</v>
      </c>
      <c r="B17" s="51">
        <f>B15/B22</f>
        <v>1.1577328646748681</v>
      </c>
      <c r="C17" s="52">
        <f t="shared" ref="C17:L17" si="11">C15/C22</f>
        <v>2.9515770261792049</v>
      </c>
      <c r="D17" s="52">
        <f t="shared" si="11"/>
        <v>1.435975985011146</v>
      </c>
      <c r="E17" s="52">
        <f t="shared" si="11"/>
        <v>1.4684842758806855</v>
      </c>
      <c r="F17" s="52">
        <f t="shared" si="11"/>
        <v>1.481005319014848</v>
      </c>
      <c r="G17" s="52">
        <f t="shared" si="11"/>
        <v>1.5965717783899602</v>
      </c>
      <c r="H17" s="52">
        <f t="shared" si="11"/>
        <v>1.5456735310787832</v>
      </c>
      <c r="I17" s="52">
        <f t="shared" si="11"/>
        <v>1.6139800185057216</v>
      </c>
      <c r="J17" s="52">
        <f t="shared" si="11"/>
        <v>1.711374578859628</v>
      </c>
      <c r="K17" s="53">
        <v>1.6510762331838567</v>
      </c>
      <c r="L17" s="53">
        <f t="shared" si="11"/>
        <v>1.7474316497032392</v>
      </c>
      <c r="M17" s="53">
        <f t="shared" ref="M17:R17" si="12">M15/M22</f>
        <v>1.8576433435310373</v>
      </c>
      <c r="N17" s="53">
        <f t="shared" si="12"/>
        <v>2.0063430333914445</v>
      </c>
      <c r="O17" s="53">
        <f t="shared" si="12"/>
        <v>1.9427052488052117</v>
      </c>
      <c r="P17" s="52">
        <f t="shared" si="12"/>
        <v>1.9172176446227884</v>
      </c>
      <c r="Q17" s="52">
        <f t="shared" si="12"/>
        <v>2.0027797881439566</v>
      </c>
      <c r="R17" s="52">
        <f t="shared" si="12"/>
        <v>2.0151636642255126</v>
      </c>
      <c r="S17" s="52">
        <f t="shared" ref="S17:X17" si="13">S15/S22</f>
        <v>1.964059156221339</v>
      </c>
      <c r="T17" s="52">
        <f t="shared" si="13"/>
        <v>1.868229911352588</v>
      </c>
      <c r="U17" s="52">
        <f t="shared" si="13"/>
        <v>1.8030664847244333</v>
      </c>
      <c r="V17" s="52">
        <f t="shared" si="13"/>
        <v>1.7993728683023433</v>
      </c>
      <c r="W17" s="52">
        <f t="shared" si="13"/>
        <v>1.7172931286041824</v>
      </c>
      <c r="X17" s="52">
        <f t="shared" si="13"/>
        <v>1.6507805948003356</v>
      </c>
      <c r="Y17" s="52">
        <f t="shared" ref="Y17:AA17" si="14">Y15/Y22</f>
        <v>1.7118047885265681</v>
      </c>
      <c r="Z17" s="52">
        <f t="shared" ref="Z17" si="15">Z15/Z22</f>
        <v>1.6798252657951371</v>
      </c>
      <c r="AA17" s="52">
        <f t="shared" si="14"/>
        <v>1.6071401785044626</v>
      </c>
      <c r="AB17" s="611">
        <f t="shared" ref="AB17" si="16">AB15/AB22</f>
        <v>1.5854464171305722</v>
      </c>
    </row>
    <row r="18" spans="1:28" ht="12.75" customHeight="1" x14ac:dyDescent="0.2">
      <c r="A18" s="42" t="s">
        <v>29</v>
      </c>
      <c r="B18" s="55">
        <v>43.2</v>
      </c>
      <c r="C18" s="56">
        <v>43.7</v>
      </c>
      <c r="D18" s="57">
        <v>52.527000000000001</v>
      </c>
      <c r="E18" s="57">
        <v>58.3</v>
      </c>
      <c r="F18" s="17">
        <v>66.5</v>
      </c>
      <c r="G18" s="17">
        <v>72.2</v>
      </c>
      <c r="H18" s="17">
        <v>76.2</v>
      </c>
      <c r="I18" s="17">
        <v>85.5</v>
      </c>
      <c r="J18" s="17">
        <v>92.7</v>
      </c>
      <c r="K18" s="18">
        <v>98.725999999999999</v>
      </c>
      <c r="L18" s="44">
        <v>99.817999999999998</v>
      </c>
      <c r="M18" s="44">
        <v>100.676</v>
      </c>
      <c r="N18" s="44">
        <f t="shared" ref="N18:T18" si="17">+N8</f>
        <v>97.837000000000003</v>
      </c>
      <c r="O18" s="44">
        <f t="shared" si="17"/>
        <v>92.427999999999997</v>
      </c>
      <c r="P18" s="614">
        <f t="shared" si="17"/>
        <v>88.108999999999995</v>
      </c>
      <c r="Q18" s="614">
        <f t="shared" si="17"/>
        <v>79.072999999999993</v>
      </c>
      <c r="R18" s="614">
        <f t="shared" si="17"/>
        <v>74.832999999999998</v>
      </c>
      <c r="S18" s="614">
        <f t="shared" ref="S18" si="18">+S8</f>
        <v>69.838999999999999</v>
      </c>
      <c r="T18" s="614">
        <f t="shared" si="17"/>
        <v>69.911000000000001</v>
      </c>
      <c r="U18" s="614">
        <f t="shared" ref="U18:X18" si="19">+U8</f>
        <v>68.753</v>
      </c>
      <c r="V18" s="614">
        <v>72.73</v>
      </c>
      <c r="W18" s="614">
        <v>75.605000000000004</v>
      </c>
      <c r="X18" s="614">
        <f t="shared" si="19"/>
        <v>75.265000000000001</v>
      </c>
      <c r="Y18" s="614">
        <f t="shared" ref="Y18:AA18" si="20">+Y8</f>
        <v>72.712999999999994</v>
      </c>
      <c r="Z18" s="614">
        <f t="shared" ref="Z18" si="21">+Z8</f>
        <v>75.215000000000003</v>
      </c>
      <c r="AA18" s="614">
        <f t="shared" si="20"/>
        <v>77.671000000000006</v>
      </c>
      <c r="AB18" s="609">
        <f t="shared" ref="AB18" si="22">+AB8</f>
        <v>82.322999999999993</v>
      </c>
    </row>
    <row r="19" spans="1:28" ht="12.75" customHeight="1" x14ac:dyDescent="0.2">
      <c r="A19" s="20" t="s">
        <v>27</v>
      </c>
      <c r="B19" s="46">
        <f>B18/B21</f>
        <v>0.30584503851381972</v>
      </c>
      <c r="C19" s="47">
        <f t="shared" ref="C19:L19" si="23">C18/C21</f>
        <v>0.31503215202283802</v>
      </c>
      <c r="D19" s="47">
        <f t="shared" si="23"/>
        <v>0.37598780278302696</v>
      </c>
      <c r="E19" s="47">
        <f t="shared" si="23"/>
        <v>0.4320790934491473</v>
      </c>
      <c r="F19" s="47">
        <f t="shared" si="23"/>
        <v>0.48977367300794689</v>
      </c>
      <c r="G19" s="47">
        <f t="shared" si="23"/>
        <v>0.53284132841328413</v>
      </c>
      <c r="H19" s="47">
        <f t="shared" si="23"/>
        <v>0.57267828557256562</v>
      </c>
      <c r="I19" s="47">
        <f t="shared" si="23"/>
        <v>0.65108628606675356</v>
      </c>
      <c r="J19" s="47">
        <f t="shared" si="23"/>
        <v>0.68694144324396433</v>
      </c>
      <c r="K19" s="48">
        <v>0.76354215003866965</v>
      </c>
      <c r="L19" s="48">
        <f t="shared" si="23"/>
        <v>0.75303081739655231</v>
      </c>
      <c r="M19" s="48">
        <f t="shared" ref="M19:R19" si="24">M18/M21</f>
        <v>0.76972361328796979</v>
      </c>
      <c r="N19" s="48">
        <f t="shared" si="24"/>
        <v>0.7926773937419993</v>
      </c>
      <c r="O19" s="48">
        <f t="shared" si="24"/>
        <v>0.75261585062983982</v>
      </c>
      <c r="P19" s="47">
        <f t="shared" si="24"/>
        <v>0.80805033061565124</v>
      </c>
      <c r="Q19" s="47">
        <f t="shared" si="24"/>
        <v>0.80055278264302998</v>
      </c>
      <c r="R19" s="47">
        <f t="shared" si="24"/>
        <v>0.80162181849344416</v>
      </c>
      <c r="S19" s="47">
        <f t="shared" ref="S19:T19" si="25">S18/S21</f>
        <v>0.74990067754023904</v>
      </c>
      <c r="T19" s="47">
        <f t="shared" si="25"/>
        <v>0.75335941120055172</v>
      </c>
      <c r="U19" s="47">
        <f t="shared" ref="U19" si="26">U18/U21</f>
        <v>0.74614733460670246</v>
      </c>
      <c r="V19" s="47">
        <f t="shared" ref="V19:X19" si="27">V18/V21</f>
        <v>0.77047756260858513</v>
      </c>
      <c r="W19" s="47">
        <f t="shared" si="27"/>
        <v>0.7905330517158452</v>
      </c>
      <c r="X19" s="47">
        <f t="shared" si="27"/>
        <v>0.77676866711388626</v>
      </c>
      <c r="Y19" s="47">
        <f t="shared" ref="Y19:AA19" si="28">Y18/Y21</f>
        <v>0.70132813780997105</v>
      </c>
      <c r="Z19" s="47">
        <f t="shared" ref="Z19" si="29">Z18/Z21</f>
        <v>0.67818693307846278</v>
      </c>
      <c r="AA19" s="47">
        <f t="shared" si="28"/>
        <v>0.66576093944199199</v>
      </c>
      <c r="AB19" s="610">
        <f t="shared" ref="AB19" si="30">AB18/AB21</f>
        <v>0.66377739433326333</v>
      </c>
    </row>
    <row r="20" spans="1:28" ht="12.75" customHeight="1" thickBot="1" x14ac:dyDescent="0.25">
      <c r="A20" s="58" t="s">
        <v>28</v>
      </c>
      <c r="B20" s="59">
        <f>B18/B22</f>
        <v>0.47451669595782076</v>
      </c>
      <c r="C20" s="60">
        <f t="shared" ref="C20:L20" si="31">C18/C22</f>
        <v>1.246221411053442</v>
      </c>
      <c r="D20" s="60">
        <f t="shared" si="31"/>
        <v>0.71835724347314733</v>
      </c>
      <c r="E20" s="60">
        <f t="shared" si="31"/>
        <v>0.7868808206235659</v>
      </c>
      <c r="F20" s="60">
        <f t="shared" si="31"/>
        <v>0.83818598905946717</v>
      </c>
      <c r="G20" s="60">
        <f t="shared" si="31"/>
        <v>0.88399142944597497</v>
      </c>
      <c r="H20" s="60">
        <f t="shared" si="31"/>
        <v>0.89977328547137725</v>
      </c>
      <c r="I20" s="60">
        <f t="shared" si="31"/>
        <v>1.001417210321039</v>
      </c>
      <c r="J20" s="60">
        <f t="shared" si="31"/>
        <v>1.0806840835169449</v>
      </c>
      <c r="K20" s="61">
        <v>1.1067937219730941</v>
      </c>
      <c r="L20" s="61">
        <f t="shared" si="31"/>
        <v>1.1896407885014182</v>
      </c>
      <c r="M20" s="61">
        <f t="shared" ref="M20:R20" si="32">M18/M22</f>
        <v>1.2419323004046188</v>
      </c>
      <c r="N20" s="61">
        <f t="shared" si="32"/>
        <v>1.3120155558535607</v>
      </c>
      <c r="O20" s="61">
        <f t="shared" si="32"/>
        <v>1.2729902075557453</v>
      </c>
      <c r="P20" s="60">
        <f t="shared" si="32"/>
        <v>1.2582146886201035</v>
      </c>
      <c r="Q20" s="60">
        <f t="shared" si="32"/>
        <v>1.3006283308112374</v>
      </c>
      <c r="R20" s="60">
        <f t="shared" si="32"/>
        <v>1.3334224265426489</v>
      </c>
      <c r="S20" s="60">
        <f t="shared" ref="S20:T20" si="33">S18/S22</f>
        <v>1.3344351880158973</v>
      </c>
      <c r="T20" s="60">
        <f t="shared" si="33"/>
        <v>1.3327804785053856</v>
      </c>
      <c r="U20" s="60">
        <f t="shared" ref="U20" si="34">U18/U22</f>
        <v>1.3030285800924872</v>
      </c>
      <c r="V20" s="60">
        <f t="shared" ref="V20:X20" si="35">V18/V22</f>
        <v>1.3336634026478895</v>
      </c>
      <c r="W20" s="60">
        <f t="shared" si="35"/>
        <v>1.3132251789064129</v>
      </c>
      <c r="X20" s="60">
        <f t="shared" si="35"/>
        <v>1.2138732984968712</v>
      </c>
      <c r="Y20" s="60">
        <f t="shared" ref="Y20:AA20" si="36">Y18/Y22</f>
        <v>1.2355859912657818</v>
      </c>
      <c r="Z20" s="60">
        <f t="shared" ref="Z20" si="37">Z18/Z22</f>
        <v>1.2079626120194007</v>
      </c>
      <c r="AA20" s="60">
        <f t="shared" si="36"/>
        <v>1.1650941273531839</v>
      </c>
      <c r="AB20" s="612">
        <f t="shared" ref="AB20" si="38">AB18/AB22</f>
        <v>1.1720745476031151</v>
      </c>
    </row>
    <row r="21" spans="1:28" ht="12.75" customHeight="1" thickBot="1" x14ac:dyDescent="0.25">
      <c r="A21" s="63" t="s">
        <v>30</v>
      </c>
      <c r="B21" s="64">
        <v>141.24799999999999</v>
      </c>
      <c r="C21" s="65">
        <v>138.71600000000001</v>
      </c>
      <c r="D21" s="65">
        <v>139.70400000000001</v>
      </c>
      <c r="E21" s="65">
        <v>134.929</v>
      </c>
      <c r="F21" s="65">
        <v>135.77699999999999</v>
      </c>
      <c r="G21" s="65">
        <v>135.5</v>
      </c>
      <c r="H21" s="65">
        <v>133.059</v>
      </c>
      <c r="I21" s="65">
        <v>131.31899999999999</v>
      </c>
      <c r="J21" s="65">
        <v>134.946</v>
      </c>
      <c r="K21" s="66">
        <v>131.517</v>
      </c>
      <c r="L21" s="66">
        <v>132.55500000000001</v>
      </c>
      <c r="M21" s="66">
        <v>130.79499999999999</v>
      </c>
      <c r="N21" s="66">
        <v>123.426</v>
      </c>
      <c r="O21" s="66">
        <v>122.809</v>
      </c>
      <c r="P21" s="65">
        <v>109.039</v>
      </c>
      <c r="Q21" s="615">
        <v>98.772999999999996</v>
      </c>
      <c r="R21" s="615">
        <v>93.352000000000004</v>
      </c>
      <c r="S21" s="615">
        <v>93.131</v>
      </c>
      <c r="T21" s="615">
        <v>92.799000000000007</v>
      </c>
      <c r="U21" s="615">
        <v>92.144000000000005</v>
      </c>
      <c r="V21" s="615">
        <v>94.396000000000001</v>
      </c>
      <c r="W21" s="615">
        <v>95.638000000000005</v>
      </c>
      <c r="X21" s="615">
        <v>96.894999999999996</v>
      </c>
      <c r="Y21" s="615">
        <v>103.679</v>
      </c>
      <c r="Z21" s="615">
        <v>110.90600000000001</v>
      </c>
      <c r="AA21" s="615">
        <v>116.66500000000001</v>
      </c>
      <c r="AB21" s="734">
        <v>124.02200000000001</v>
      </c>
    </row>
    <row r="22" spans="1:28" ht="12.75" customHeight="1" thickBot="1" x14ac:dyDescent="0.25">
      <c r="A22" s="67" t="s">
        <v>560</v>
      </c>
      <c r="B22" s="68">
        <v>91.04</v>
      </c>
      <c r="C22" s="69">
        <v>35.066000000000003</v>
      </c>
      <c r="D22" s="69">
        <v>73.120999999999995</v>
      </c>
      <c r="E22" s="69">
        <v>74.09</v>
      </c>
      <c r="F22" s="69">
        <v>79.337999999999994</v>
      </c>
      <c r="G22" s="69">
        <v>81.674999999999997</v>
      </c>
      <c r="H22" s="69">
        <v>84.688000000000002</v>
      </c>
      <c r="I22" s="69">
        <v>85.379000000000005</v>
      </c>
      <c r="J22" s="69">
        <v>85.778999999999996</v>
      </c>
      <c r="K22" s="70">
        <v>84.317999999999998</v>
      </c>
      <c r="L22" s="70">
        <v>83.906000000000006</v>
      </c>
      <c r="M22" s="70">
        <v>81.063999999999993</v>
      </c>
      <c r="N22" s="70">
        <v>74.569999999999993</v>
      </c>
      <c r="O22" s="70">
        <v>72.606999999999999</v>
      </c>
      <c r="P22" s="69">
        <v>70.027000000000001</v>
      </c>
      <c r="Q22" s="616">
        <v>60.795999999999999</v>
      </c>
      <c r="R22" s="616">
        <v>56.121000000000002</v>
      </c>
      <c r="S22" s="616">
        <v>52.335999999999999</v>
      </c>
      <c r="T22" s="616">
        <v>52.454999999999998</v>
      </c>
      <c r="U22" s="616">
        <v>52.764000000000003</v>
      </c>
      <c r="V22" s="616">
        <v>54.533999999999999</v>
      </c>
      <c r="W22" s="616">
        <v>57.572000000000003</v>
      </c>
      <c r="X22" s="616">
        <v>62.003999999999998</v>
      </c>
      <c r="Y22" s="616">
        <v>58.848999999999997</v>
      </c>
      <c r="Z22" s="616">
        <v>62.265999999999998</v>
      </c>
      <c r="AA22" s="616">
        <v>66.665000000000006</v>
      </c>
      <c r="AB22" s="735">
        <v>70.236999999999995</v>
      </c>
    </row>
    <row r="23" spans="1:28" ht="6" customHeight="1" thickTop="1" x14ac:dyDescent="0.2">
      <c r="A23" s="33"/>
      <c r="B23" s="71"/>
      <c r="C23" s="71"/>
      <c r="D23" s="71"/>
      <c r="E23" s="71"/>
      <c r="F23" s="71"/>
      <c r="G23" s="71"/>
      <c r="H23" s="71"/>
      <c r="I23" s="71"/>
      <c r="J23" s="71"/>
      <c r="K23" s="71"/>
    </row>
    <row r="24" spans="1:28" ht="12.75" customHeight="1" x14ac:dyDescent="0.2">
      <c r="A24" s="72" t="s">
        <v>610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</row>
    <row r="25" spans="1:28" ht="12.75" customHeight="1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</row>
    <row r="26" spans="1:28" ht="30" customHeight="1" x14ac:dyDescent="0.2">
      <c r="A26" s="677" t="s">
        <v>621</v>
      </c>
      <c r="B26" s="678"/>
      <c r="C26" s="678"/>
      <c r="D26" s="678"/>
      <c r="E26" s="678"/>
      <c r="F26" s="678"/>
      <c r="G26" s="678"/>
      <c r="H26" s="678"/>
      <c r="I26" s="678"/>
      <c r="J26" s="678"/>
      <c r="K26" s="678"/>
    </row>
    <row r="27" spans="1:28" ht="6.75" customHeight="1" thickBot="1" x14ac:dyDescent="0.25">
      <c r="AB27" s="8"/>
    </row>
    <row r="28" spans="1:28" ht="12.75" customHeight="1" thickTop="1" thickBot="1" x14ac:dyDescent="0.25">
      <c r="A28" s="10"/>
      <c r="B28" s="38" t="s">
        <v>25</v>
      </c>
      <c r="C28" s="39" t="s">
        <v>5</v>
      </c>
      <c r="D28" s="40" t="s">
        <v>6</v>
      </c>
      <c r="E28" s="40" t="s">
        <v>7</v>
      </c>
      <c r="F28" s="40" t="s">
        <v>8</v>
      </c>
      <c r="G28" s="40" t="s">
        <v>9</v>
      </c>
      <c r="H28" s="40" t="s">
        <v>10</v>
      </c>
      <c r="I28" s="40" t="s">
        <v>11</v>
      </c>
      <c r="J28" s="40" t="s">
        <v>12</v>
      </c>
      <c r="K28" s="41" t="s">
        <v>13</v>
      </c>
      <c r="L28" s="41" t="s">
        <v>14</v>
      </c>
      <c r="M28" s="41" t="s">
        <v>15</v>
      </c>
      <c r="N28" s="41" t="s">
        <v>16</v>
      </c>
      <c r="O28" s="41" t="s">
        <v>17</v>
      </c>
      <c r="P28" s="41" t="s">
        <v>35</v>
      </c>
      <c r="Q28" s="41" t="s">
        <v>542</v>
      </c>
      <c r="R28" s="41" t="s">
        <v>544</v>
      </c>
      <c r="S28" s="613" t="s">
        <v>551</v>
      </c>
      <c r="T28" s="613" t="str">
        <f>T3</f>
        <v>2017/18</v>
      </c>
      <c r="U28" s="613" t="s">
        <v>586</v>
      </c>
      <c r="V28" s="648" t="s">
        <v>590</v>
      </c>
      <c r="W28" s="648" t="s">
        <v>590</v>
      </c>
      <c r="X28" s="648" t="s">
        <v>596</v>
      </c>
      <c r="Y28" s="648" t="s">
        <v>603</v>
      </c>
      <c r="Z28" s="648" t="s">
        <v>606</v>
      </c>
      <c r="AA28" s="648" t="s">
        <v>611</v>
      </c>
      <c r="AB28" s="14" t="s">
        <v>618</v>
      </c>
    </row>
    <row r="29" spans="1:28" ht="12.75" customHeight="1" thickTop="1" x14ac:dyDescent="0.2">
      <c r="A29" s="42" t="s">
        <v>26</v>
      </c>
      <c r="B29" s="73">
        <v>90.6</v>
      </c>
      <c r="C29" s="74">
        <v>78.073999999999998</v>
      </c>
      <c r="D29" s="74">
        <v>82.296999999999997</v>
      </c>
      <c r="E29" s="74">
        <v>83.67</v>
      </c>
      <c r="F29" s="74">
        <v>91.165999999999997</v>
      </c>
      <c r="G29" s="74">
        <v>94.63</v>
      </c>
      <c r="H29" s="74">
        <v>94.3</v>
      </c>
      <c r="I29" s="74">
        <v>96.7</v>
      </c>
      <c r="J29" s="74">
        <v>99.4</v>
      </c>
      <c r="K29" s="75">
        <v>98.694999999999993</v>
      </c>
      <c r="L29" s="76">
        <v>100.56</v>
      </c>
      <c r="M29" s="76">
        <v>105.50700000000001</v>
      </c>
      <c r="N29" s="76">
        <v>104.008</v>
      </c>
      <c r="O29" s="76">
        <f>+'vš_druh studia '!E94/1000</f>
        <v>101.3</v>
      </c>
      <c r="P29" s="76">
        <f>+'vš_druh studia '!E102/1000</f>
        <v>97.665999999999997</v>
      </c>
      <c r="Q29" s="76">
        <v>87.643000000000001</v>
      </c>
      <c r="R29" s="76">
        <v>81.872</v>
      </c>
      <c r="S29" s="76">
        <v>75.528000000000006</v>
      </c>
      <c r="T29" s="76">
        <v>72.525000000000006</v>
      </c>
      <c r="U29" s="76">
        <v>71.584000000000003</v>
      </c>
      <c r="V29" s="76">
        <v>75.209999999999994</v>
      </c>
      <c r="W29" s="76">
        <v>75.819999999999993</v>
      </c>
      <c r="X29" s="76">
        <v>76.893000000000001</v>
      </c>
      <c r="Y29" s="76">
        <v>78.926000000000002</v>
      </c>
      <c r="Z29" s="76">
        <v>82.259</v>
      </c>
      <c r="AA29" s="76">
        <v>85.715999999999994</v>
      </c>
      <c r="AB29" s="77">
        <v>90.334999999999994</v>
      </c>
    </row>
    <row r="30" spans="1:28" ht="12.75" customHeight="1" x14ac:dyDescent="0.2">
      <c r="A30" s="20" t="s">
        <v>27</v>
      </c>
      <c r="B30" s="46">
        <f>B29/B35</f>
        <v>0.64164305949008504</v>
      </c>
      <c r="C30" s="47">
        <f t="shared" ref="C30:L30" si="39">C29/C35</f>
        <v>0.56289834174477293</v>
      </c>
      <c r="D30" s="47">
        <f t="shared" si="39"/>
        <v>0.58909806728704373</v>
      </c>
      <c r="E30" s="47">
        <f t="shared" si="39"/>
        <v>0.62023721275018528</v>
      </c>
      <c r="F30" s="47">
        <f t="shared" si="39"/>
        <v>0.6713254786450662</v>
      </c>
      <c r="G30" s="47">
        <f t="shared" si="39"/>
        <v>0.69837638376383759</v>
      </c>
      <c r="H30" s="47">
        <f t="shared" si="39"/>
        <v>0.70870816705371298</v>
      </c>
      <c r="I30" s="47">
        <f t="shared" si="39"/>
        <v>0.73637478201935758</v>
      </c>
      <c r="J30" s="47">
        <f t="shared" si="39"/>
        <v>0.73659093266936404</v>
      </c>
      <c r="K30" s="48">
        <v>0.76330239752513518</v>
      </c>
      <c r="L30" s="48">
        <f t="shared" si="39"/>
        <v>0.75862849383274866</v>
      </c>
      <c r="M30" s="48">
        <f t="shared" ref="M30:R30" si="40">M29/M35</f>
        <v>0.80665927596620679</v>
      </c>
      <c r="N30" s="48">
        <f t="shared" si="40"/>
        <v>0.84267496313580603</v>
      </c>
      <c r="O30" s="48">
        <f t="shared" si="40"/>
        <v>0.82485811300474721</v>
      </c>
      <c r="P30" s="48">
        <f t="shared" si="40"/>
        <v>0.89569786956960351</v>
      </c>
      <c r="Q30" s="48">
        <f t="shared" si="40"/>
        <v>0.88731738430542761</v>
      </c>
      <c r="R30" s="48">
        <f t="shared" si="40"/>
        <v>0.87702459508098374</v>
      </c>
      <c r="S30" s="48">
        <f t="shared" ref="S30:T30" si="41">S29/S35</f>
        <v>0.81098667468404728</v>
      </c>
      <c r="T30" s="48">
        <f t="shared" si="41"/>
        <v>0.78152781818769601</v>
      </c>
      <c r="U30" s="48">
        <f t="shared" ref="U30:X30" si="42">U29/U35</f>
        <v>0.77687098454592807</v>
      </c>
      <c r="V30" s="48">
        <f t="shared" si="42"/>
        <v>0.79674986228230005</v>
      </c>
      <c r="W30" s="48">
        <f t="shared" si="42"/>
        <v>0.79278111211024893</v>
      </c>
      <c r="X30" s="48">
        <f t="shared" si="42"/>
        <v>0.79357035966768152</v>
      </c>
      <c r="Y30" s="48">
        <f t="shared" ref="Y30:AA30" si="43">Y29/Y35</f>
        <v>0.76125348431215578</v>
      </c>
      <c r="Z30" s="48">
        <v>0.74170017852956549</v>
      </c>
      <c r="AA30" s="48">
        <f t="shared" si="43"/>
        <v>0.73471906741524873</v>
      </c>
      <c r="AB30" s="49">
        <f t="shared" ref="AB30" si="44">AB29/AB35</f>
        <v>0.72837883601296538</v>
      </c>
    </row>
    <row r="31" spans="1:28" ht="12.75" customHeight="1" x14ac:dyDescent="0.2">
      <c r="A31" s="50" t="s">
        <v>28</v>
      </c>
      <c r="B31" s="51">
        <f>B29/B36</f>
        <v>0.99560439560439551</v>
      </c>
      <c r="C31" s="52">
        <f t="shared" ref="C31:L31" si="45">C29/C36</f>
        <v>2.2243304843304843</v>
      </c>
      <c r="D31" s="52">
        <f t="shared" si="45"/>
        <v>1.1258139534883722</v>
      </c>
      <c r="E31" s="52">
        <f t="shared" si="45"/>
        <v>1.1291497975708502</v>
      </c>
      <c r="F31" s="52">
        <f t="shared" si="45"/>
        <v>1.1481863979848865</v>
      </c>
      <c r="G31" s="52">
        <f t="shared" si="45"/>
        <v>1.1586164677073767</v>
      </c>
      <c r="H31" s="52">
        <f t="shared" si="45"/>
        <v>1.1134989608917438</v>
      </c>
      <c r="I31" s="52">
        <f t="shared" si="45"/>
        <v>1.1325970086320991</v>
      </c>
      <c r="J31" s="52">
        <f t="shared" si="45"/>
        <v>1.1587917788736173</v>
      </c>
      <c r="K31" s="53">
        <v>1.106446188340807</v>
      </c>
      <c r="L31" s="53">
        <f t="shared" si="45"/>
        <v>1.1984840178294758</v>
      </c>
      <c r="M31" s="53">
        <f t="shared" ref="M31:R31" si="46">M29/M36</f>
        <v>1.3015271883943553</v>
      </c>
      <c r="N31" s="53">
        <f t="shared" si="46"/>
        <v>1.3947700147512405</v>
      </c>
      <c r="O31" s="53">
        <f t="shared" si="46"/>
        <v>1.3951822827000151</v>
      </c>
      <c r="P31" s="53">
        <f t="shared" si="46"/>
        <v>1.394690619332543</v>
      </c>
      <c r="Q31" s="53">
        <f t="shared" si="46"/>
        <v>1.4415915520757945</v>
      </c>
      <c r="R31" s="53">
        <f t="shared" si="46"/>
        <v>1.4588478466171309</v>
      </c>
      <c r="S31" s="53">
        <f t="shared" ref="S31:T31" si="47">S29/S36</f>
        <v>1.4431366554570468</v>
      </c>
      <c r="T31" s="53">
        <f t="shared" si="47"/>
        <v>1.3826136688590223</v>
      </c>
      <c r="U31" s="53">
        <f t="shared" ref="U31:X31" si="48">U29/U36</f>
        <v>1.356682586612084</v>
      </c>
      <c r="V31" s="53">
        <f t="shared" si="48"/>
        <v>1.3791396193200571</v>
      </c>
      <c r="W31" s="53">
        <f t="shared" si="48"/>
        <v>1.3169596331550057</v>
      </c>
      <c r="X31" s="53">
        <f t="shared" si="48"/>
        <v>1.2401296690536094</v>
      </c>
      <c r="Y31" s="53">
        <f t="shared" ref="Y31:AA31" si="49">Y29/Y36</f>
        <v>1.3411612771669867</v>
      </c>
      <c r="Z31" s="53">
        <v>1.3210901615648991</v>
      </c>
      <c r="AA31" s="53">
        <f t="shared" si="49"/>
        <v>1.2857721443036074</v>
      </c>
      <c r="AB31" s="54">
        <f t="shared" ref="AB31" si="50">AB29/AB36</f>
        <v>1.2861454788786537</v>
      </c>
    </row>
    <row r="32" spans="1:28" ht="12.75" customHeight="1" x14ac:dyDescent="0.2">
      <c r="A32" s="42" t="s">
        <v>29</v>
      </c>
      <c r="B32" s="55">
        <v>39.5</v>
      </c>
      <c r="C32" s="56">
        <v>35.6</v>
      </c>
      <c r="D32" s="57">
        <v>43.5</v>
      </c>
      <c r="E32" s="57">
        <v>47.68</v>
      </c>
      <c r="F32" s="17">
        <v>54.329000000000001</v>
      </c>
      <c r="G32" s="17">
        <v>56.112000000000002</v>
      </c>
      <c r="H32" s="17">
        <v>58.6</v>
      </c>
      <c r="I32" s="17">
        <v>63.7</v>
      </c>
      <c r="J32" s="17">
        <v>66.099999999999994</v>
      </c>
      <c r="K32" s="18">
        <v>69.266000000000005</v>
      </c>
      <c r="L32" s="44">
        <v>70.703000000000003</v>
      </c>
      <c r="M32" s="44">
        <v>72.971000000000004</v>
      </c>
      <c r="N32" s="44">
        <v>71.037999999999997</v>
      </c>
      <c r="O32" s="44">
        <f>'vš_druh studia '!L94/1000</f>
        <v>68.406000000000006</v>
      </c>
      <c r="P32" s="44">
        <f>+'vš_druh studia '!L102/1000</f>
        <v>66.292000000000002</v>
      </c>
      <c r="Q32" s="44">
        <v>58.603000000000002</v>
      </c>
      <c r="R32" s="44">
        <v>55.305999999999997</v>
      </c>
      <c r="S32" s="44">
        <v>51.929000000000002</v>
      </c>
      <c r="T32" s="44">
        <v>52.222999999999999</v>
      </c>
      <c r="U32" s="44">
        <v>52.277999999999999</v>
      </c>
      <c r="V32" s="44">
        <v>56.503999999999998</v>
      </c>
      <c r="W32" s="44">
        <v>58.512999999999998</v>
      </c>
      <c r="X32" s="44">
        <v>58.122999999999998</v>
      </c>
      <c r="Y32" s="44">
        <v>57.813000000000002</v>
      </c>
      <c r="Z32" s="44">
        <v>60.354999999999997</v>
      </c>
      <c r="AA32" s="44">
        <v>63.139000000000003</v>
      </c>
      <c r="AB32" s="45">
        <v>67.548000000000002</v>
      </c>
    </row>
    <row r="33" spans="1:28" ht="12.75" customHeight="1" x14ac:dyDescent="0.2">
      <c r="A33" s="20" t="s">
        <v>27</v>
      </c>
      <c r="B33" s="46">
        <f>B32/B35</f>
        <v>0.27974504249291787</v>
      </c>
      <c r="C33" s="47">
        <f t="shared" ref="C33:L33" si="51">C32/C35</f>
        <v>0.25666906993511179</v>
      </c>
      <c r="D33" s="47">
        <f t="shared" si="51"/>
        <v>0.31138153185397283</v>
      </c>
      <c r="E33" s="47">
        <f t="shared" si="51"/>
        <v>0.35344699777613042</v>
      </c>
      <c r="F33" s="47">
        <f t="shared" si="51"/>
        <v>0.4000662739322533</v>
      </c>
      <c r="G33" s="47">
        <f t="shared" si="51"/>
        <v>0.41411070110701109</v>
      </c>
      <c r="H33" s="47">
        <f t="shared" si="51"/>
        <v>0.44040613562404651</v>
      </c>
      <c r="I33" s="47">
        <f t="shared" si="51"/>
        <v>0.48507832073043511</v>
      </c>
      <c r="J33" s="47">
        <f t="shared" si="51"/>
        <v>0.48982555985357101</v>
      </c>
      <c r="K33" s="48">
        <v>0.5356999226604795</v>
      </c>
      <c r="L33" s="48">
        <f t="shared" si="51"/>
        <v>0.53338614160159936</v>
      </c>
      <c r="M33" s="48">
        <f t="shared" ref="M33:R33" si="52">M32/M35</f>
        <v>0.55790358958675801</v>
      </c>
      <c r="N33" s="48">
        <f t="shared" si="52"/>
        <v>0.57555134250482065</v>
      </c>
      <c r="O33" s="48">
        <f t="shared" si="52"/>
        <v>0.55701129396054039</v>
      </c>
      <c r="P33" s="48">
        <f t="shared" si="52"/>
        <v>0.60796595713460322</v>
      </c>
      <c r="Q33" s="48">
        <f t="shared" si="52"/>
        <v>0.59330991262794497</v>
      </c>
      <c r="R33" s="48">
        <f t="shared" si="52"/>
        <v>0.59244579655497465</v>
      </c>
      <c r="S33" s="48">
        <f t="shared" ref="S33:T33" si="53">S32/S35</f>
        <v>0.55759092031654334</v>
      </c>
      <c r="T33" s="48">
        <f t="shared" si="53"/>
        <v>0.56275390898608812</v>
      </c>
      <c r="U33" s="48">
        <f t="shared" ref="U33:X33" si="54">U32/U35</f>
        <v>0.56735110262198296</v>
      </c>
      <c r="V33" s="48">
        <f t="shared" si="54"/>
        <v>0.59858468579177082</v>
      </c>
      <c r="W33" s="48">
        <f t="shared" si="54"/>
        <v>0.61181747840816403</v>
      </c>
      <c r="X33" s="48">
        <f t="shared" si="54"/>
        <v>0.59985551370039736</v>
      </c>
      <c r="Y33" s="48">
        <f t="shared" ref="Y33:AA33" si="55">Y32/Y35</f>
        <v>0.55761533193800095</v>
      </c>
      <c r="Z33" s="48">
        <v>0.54419959244765836</v>
      </c>
      <c r="AA33" s="48">
        <f t="shared" si="55"/>
        <v>0.54119915998799983</v>
      </c>
      <c r="AB33" s="49">
        <f t="shared" ref="AB33" si="56">AB32/AB35</f>
        <v>0.54464530486526586</v>
      </c>
    </row>
    <row r="34" spans="1:28" ht="12.75" customHeight="1" thickBot="1" x14ac:dyDescent="0.25">
      <c r="A34" s="58" t="s">
        <v>28</v>
      </c>
      <c r="B34" s="59">
        <f>B32/B36</f>
        <v>0.43406593406593408</v>
      </c>
      <c r="C34" s="60">
        <f t="shared" ref="C34:L34" si="57">C32/C36</f>
        <v>1.0142450142450143</v>
      </c>
      <c r="D34" s="60">
        <f t="shared" si="57"/>
        <v>0.59507523939808482</v>
      </c>
      <c r="E34" s="60">
        <f t="shared" si="57"/>
        <v>0.64345479082321189</v>
      </c>
      <c r="F34" s="60">
        <f t="shared" si="57"/>
        <v>0.68424433249370276</v>
      </c>
      <c r="G34" s="60">
        <f t="shared" si="57"/>
        <v>0.68701561065197436</v>
      </c>
      <c r="H34" s="60">
        <f t="shared" si="57"/>
        <v>0.69195163423389383</v>
      </c>
      <c r="I34" s="60">
        <f t="shared" si="57"/>
        <v>0.74608510289415431</v>
      </c>
      <c r="J34" s="60">
        <f t="shared" si="57"/>
        <v>0.77058487508597673</v>
      </c>
      <c r="K34" s="61">
        <v>0.77652466367713013</v>
      </c>
      <c r="L34" s="61">
        <f t="shared" si="57"/>
        <v>0.84264534121516932</v>
      </c>
      <c r="M34" s="61">
        <f t="shared" ref="M34:R34" si="58">M32/M36</f>
        <v>0.9001653014901807</v>
      </c>
      <c r="N34" s="61">
        <f t="shared" si="58"/>
        <v>0.9526351079522597</v>
      </c>
      <c r="O34" s="61">
        <f t="shared" si="58"/>
        <v>0.94214056495930154</v>
      </c>
      <c r="P34" s="61">
        <f t="shared" si="58"/>
        <v>0.94666342981992657</v>
      </c>
      <c r="Q34" s="61">
        <f t="shared" si="58"/>
        <v>0.96392854793078497</v>
      </c>
      <c r="R34" s="61">
        <f t="shared" si="58"/>
        <v>0.98547780688155939</v>
      </c>
      <c r="S34" s="61">
        <f t="shared" ref="S34:T34" si="59">S32/S36</f>
        <v>0.99222332619993892</v>
      </c>
      <c r="T34" s="61">
        <f t="shared" si="59"/>
        <v>0.99557716137641794</v>
      </c>
      <c r="U34" s="61">
        <f t="shared" ref="U34:X34" si="60">U32/U36</f>
        <v>0.99078917443711612</v>
      </c>
      <c r="V34" s="61">
        <f t="shared" si="60"/>
        <v>1.0361242527597463</v>
      </c>
      <c r="W34" s="61">
        <f t="shared" si="60"/>
        <v>1.0163447509205863</v>
      </c>
      <c r="X34" s="61">
        <f t="shared" si="60"/>
        <v>0.93740726404748076</v>
      </c>
      <c r="Y34" s="61">
        <f t="shared" ref="Y34:AA34" si="61">Y32/Y36</f>
        <v>0.98239562269537295</v>
      </c>
      <c r="Z34" s="61">
        <v>0.96930909324510972</v>
      </c>
      <c r="AA34" s="61">
        <f t="shared" si="61"/>
        <v>0.94710867771694285</v>
      </c>
      <c r="AB34" s="62">
        <f t="shared" ref="AB34" si="62">AB32/AB36</f>
        <v>0.96171533522217645</v>
      </c>
    </row>
    <row r="35" spans="1:28" ht="12.75" customHeight="1" thickBot="1" x14ac:dyDescent="0.25">
      <c r="A35" s="63" t="s">
        <v>30</v>
      </c>
      <c r="B35" s="64">
        <v>141.19999999999999</v>
      </c>
      <c r="C35" s="65">
        <v>138.69999999999999</v>
      </c>
      <c r="D35" s="65">
        <v>139.69999999999999</v>
      </c>
      <c r="E35" s="65">
        <v>134.9</v>
      </c>
      <c r="F35" s="65">
        <v>135.80000000000001</v>
      </c>
      <c r="G35" s="65">
        <f>+G21</f>
        <v>135.5</v>
      </c>
      <c r="H35" s="65">
        <f t="shared" ref="H35:O35" si="63">+H21</f>
        <v>133.059</v>
      </c>
      <c r="I35" s="65">
        <f t="shared" si="63"/>
        <v>131.31899999999999</v>
      </c>
      <c r="J35" s="65">
        <f t="shared" si="63"/>
        <v>134.946</v>
      </c>
      <c r="K35" s="66">
        <f t="shared" si="63"/>
        <v>131.517</v>
      </c>
      <c r="L35" s="66">
        <f t="shared" si="63"/>
        <v>132.55500000000001</v>
      </c>
      <c r="M35" s="66">
        <f t="shared" si="63"/>
        <v>130.79499999999999</v>
      </c>
      <c r="N35" s="66">
        <f t="shared" si="63"/>
        <v>123.426</v>
      </c>
      <c r="O35" s="66">
        <f t="shared" si="63"/>
        <v>122.809</v>
      </c>
      <c r="P35" s="66">
        <f t="shared" ref="P35:Q35" si="64">+P21</f>
        <v>109.039</v>
      </c>
      <c r="Q35" s="66">
        <f t="shared" si="64"/>
        <v>98.772999999999996</v>
      </c>
      <c r="R35" s="66">
        <f t="shared" ref="R35:T35" si="65">+R21</f>
        <v>93.352000000000004</v>
      </c>
      <c r="S35" s="66">
        <f t="shared" ref="S35" si="66">+S21</f>
        <v>93.131</v>
      </c>
      <c r="T35" s="66">
        <f t="shared" si="65"/>
        <v>92.799000000000007</v>
      </c>
      <c r="U35" s="66">
        <f t="shared" ref="U35:X35" si="67">+U21</f>
        <v>92.144000000000005</v>
      </c>
      <c r="V35" s="66">
        <f t="shared" si="67"/>
        <v>94.396000000000001</v>
      </c>
      <c r="W35" s="66">
        <f t="shared" si="67"/>
        <v>95.638000000000005</v>
      </c>
      <c r="X35" s="66">
        <f t="shared" si="67"/>
        <v>96.894999999999996</v>
      </c>
      <c r="Y35" s="66">
        <f>Y21</f>
        <v>103.679</v>
      </c>
      <c r="Z35" s="66">
        <v>110.90600000000001</v>
      </c>
      <c r="AA35" s="66">
        <f>AA21</f>
        <v>116.66500000000001</v>
      </c>
      <c r="AB35" s="615">
        <f>AB21</f>
        <v>124.02200000000001</v>
      </c>
    </row>
    <row r="36" spans="1:28" ht="12.75" customHeight="1" thickBot="1" x14ac:dyDescent="0.25">
      <c r="A36" s="67" t="s">
        <v>560</v>
      </c>
      <c r="B36" s="68">
        <v>91</v>
      </c>
      <c r="C36" s="69">
        <v>35.1</v>
      </c>
      <c r="D36" s="69">
        <v>73.099999999999994</v>
      </c>
      <c r="E36" s="69">
        <v>74.099999999999994</v>
      </c>
      <c r="F36" s="69">
        <v>79.400000000000006</v>
      </c>
      <c r="G36" s="69">
        <f t="shared" ref="G36:O36" si="68">+G22</f>
        <v>81.674999999999997</v>
      </c>
      <c r="H36" s="69">
        <f t="shared" si="68"/>
        <v>84.688000000000002</v>
      </c>
      <c r="I36" s="69">
        <f t="shared" si="68"/>
        <v>85.379000000000005</v>
      </c>
      <c r="J36" s="69">
        <f t="shared" si="68"/>
        <v>85.778999999999996</v>
      </c>
      <c r="K36" s="70">
        <f t="shared" si="68"/>
        <v>84.317999999999998</v>
      </c>
      <c r="L36" s="70">
        <f t="shared" si="68"/>
        <v>83.906000000000006</v>
      </c>
      <c r="M36" s="70">
        <f t="shared" si="68"/>
        <v>81.063999999999993</v>
      </c>
      <c r="N36" s="70">
        <f t="shared" si="68"/>
        <v>74.569999999999993</v>
      </c>
      <c r="O36" s="70">
        <f t="shared" si="68"/>
        <v>72.606999999999999</v>
      </c>
      <c r="P36" s="70">
        <f t="shared" ref="P36:Q36" si="69">+P22</f>
        <v>70.027000000000001</v>
      </c>
      <c r="Q36" s="70">
        <f t="shared" si="69"/>
        <v>60.795999999999999</v>
      </c>
      <c r="R36" s="70">
        <f t="shared" ref="R36:T36" si="70">+R22</f>
        <v>56.121000000000002</v>
      </c>
      <c r="S36" s="70">
        <f t="shared" ref="S36" si="71">+S22</f>
        <v>52.335999999999999</v>
      </c>
      <c r="T36" s="70">
        <f t="shared" si="70"/>
        <v>52.454999999999998</v>
      </c>
      <c r="U36" s="70">
        <f t="shared" ref="U36:X36" si="72">+U22</f>
        <v>52.764000000000003</v>
      </c>
      <c r="V36" s="70">
        <f t="shared" si="72"/>
        <v>54.533999999999999</v>
      </c>
      <c r="W36" s="70">
        <f t="shared" si="72"/>
        <v>57.572000000000003</v>
      </c>
      <c r="X36" s="70">
        <f t="shared" si="72"/>
        <v>62.003999999999998</v>
      </c>
      <c r="Y36" s="70">
        <f t="shared" ref="Y36:AA36" si="73">Y22</f>
        <v>58.848999999999997</v>
      </c>
      <c r="Z36" s="70">
        <v>62.265999999999998</v>
      </c>
      <c r="AA36" s="70">
        <f t="shared" si="73"/>
        <v>66.665000000000006</v>
      </c>
      <c r="AB36" s="616">
        <f t="shared" ref="AB36" si="74">AB22</f>
        <v>70.236999999999995</v>
      </c>
    </row>
    <row r="37" spans="1:28" ht="4.5" customHeight="1" thickTop="1" x14ac:dyDescent="0.2">
      <c r="A37" s="33"/>
      <c r="B37" s="71"/>
      <c r="C37" s="71"/>
      <c r="D37" s="71"/>
      <c r="E37" s="71"/>
      <c r="F37" s="71"/>
      <c r="G37" s="71"/>
      <c r="H37" s="71"/>
      <c r="I37" s="71"/>
      <c r="J37" s="71"/>
      <c r="K37" s="71"/>
    </row>
    <row r="38" spans="1:28" ht="12.75" customHeight="1" x14ac:dyDescent="0.2">
      <c r="A38" s="72" t="s">
        <v>610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</row>
    <row r="39" spans="1:28" ht="12.75" customHeight="1" x14ac:dyDescent="0.2">
      <c r="A39" s="78"/>
      <c r="B39" s="78"/>
      <c r="C39" s="78"/>
      <c r="D39" s="78"/>
      <c r="E39" s="78"/>
      <c r="F39" s="78"/>
      <c r="G39" s="78"/>
      <c r="H39" s="37"/>
      <c r="L39" s="27"/>
    </row>
    <row r="40" spans="1:28" x14ac:dyDescent="0.2">
      <c r="A40" s="679" t="s">
        <v>622</v>
      </c>
      <c r="B40" s="679"/>
      <c r="C40" s="679"/>
      <c r="D40" s="679"/>
      <c r="E40" s="679"/>
      <c r="F40" s="679"/>
    </row>
    <row r="63" spans="1:1" x14ac:dyDescent="0.2">
      <c r="A63" s="5" t="s">
        <v>623</v>
      </c>
    </row>
    <row r="65" spans="1:18" ht="12.75" customHeight="1" thickTop="1" x14ac:dyDescent="0.2">
      <c r="A65" s="80"/>
      <c r="B65" s="81" t="s">
        <v>31</v>
      </c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2"/>
      <c r="R65" s="680" t="s">
        <v>32</v>
      </c>
    </row>
    <row r="66" spans="1:18" ht="12.75" customHeight="1" thickBot="1" x14ac:dyDescent="0.25">
      <c r="A66" s="83"/>
      <c r="B66" s="84">
        <v>1</v>
      </c>
      <c r="C66" s="85">
        <v>2</v>
      </c>
      <c r="D66" s="85">
        <v>3</v>
      </c>
      <c r="E66" s="85">
        <v>4</v>
      </c>
      <c r="F66" s="85">
        <v>5</v>
      </c>
      <c r="G66" s="85">
        <v>6</v>
      </c>
      <c r="H66" s="85">
        <v>7</v>
      </c>
      <c r="I66" s="85">
        <v>8</v>
      </c>
      <c r="J66" s="85">
        <v>9</v>
      </c>
      <c r="K66" s="85">
        <v>10</v>
      </c>
      <c r="L66" s="85">
        <v>11</v>
      </c>
      <c r="M66" s="85">
        <v>12</v>
      </c>
      <c r="N66" s="85">
        <v>13</v>
      </c>
      <c r="O66" s="85">
        <v>14</v>
      </c>
      <c r="P66" s="86" t="s">
        <v>33</v>
      </c>
      <c r="Q66" s="87" t="s">
        <v>34</v>
      </c>
      <c r="R66" s="681"/>
    </row>
    <row r="67" spans="1:18" ht="12.75" customHeight="1" thickTop="1" x14ac:dyDescent="0.2">
      <c r="A67" s="88" t="s">
        <v>25</v>
      </c>
      <c r="B67" s="89">
        <v>45115</v>
      </c>
      <c r="C67" s="90">
        <v>24718</v>
      </c>
      <c r="D67" s="90">
        <v>16884</v>
      </c>
      <c r="E67" s="90">
        <v>10334</v>
      </c>
      <c r="F67" s="90">
        <v>5079</v>
      </c>
      <c r="G67" s="90">
        <v>2077</v>
      </c>
      <c r="H67" s="90">
        <v>730</v>
      </c>
      <c r="I67" s="90">
        <v>320</v>
      </c>
      <c r="J67" s="90">
        <v>108</v>
      </c>
      <c r="K67" s="90">
        <v>38</v>
      </c>
      <c r="L67" s="90">
        <v>19</v>
      </c>
      <c r="M67" s="90">
        <v>7</v>
      </c>
      <c r="N67" s="90">
        <v>5</v>
      </c>
      <c r="O67" s="90">
        <v>2</v>
      </c>
      <c r="P67" s="90">
        <v>1</v>
      </c>
      <c r="Q67" s="91">
        <v>2.2200000000000002</v>
      </c>
      <c r="R67" s="92">
        <v>105437</v>
      </c>
    </row>
    <row r="68" spans="1:18" ht="12.75" customHeight="1" x14ac:dyDescent="0.2">
      <c r="A68" s="93" t="s">
        <v>5</v>
      </c>
      <c r="B68" s="94">
        <v>53027</v>
      </c>
      <c r="C68" s="95">
        <v>22275</v>
      </c>
      <c r="D68" s="95">
        <v>13383</v>
      </c>
      <c r="E68" s="95">
        <v>8017</v>
      </c>
      <c r="F68" s="95">
        <v>3998</v>
      </c>
      <c r="G68" s="95">
        <v>1759</v>
      </c>
      <c r="H68" s="95">
        <v>648</v>
      </c>
      <c r="I68" s="95">
        <v>226</v>
      </c>
      <c r="J68" s="95">
        <v>87</v>
      </c>
      <c r="K68" s="95">
        <v>39</v>
      </c>
      <c r="L68" s="95">
        <v>13</v>
      </c>
      <c r="M68" s="95">
        <v>4</v>
      </c>
      <c r="N68" s="95">
        <v>5</v>
      </c>
      <c r="O68" s="95">
        <v>1</v>
      </c>
      <c r="P68" s="95">
        <v>3</v>
      </c>
      <c r="Q68" s="96">
        <v>2</v>
      </c>
      <c r="R68" s="97">
        <v>103485</v>
      </c>
    </row>
    <row r="69" spans="1:18" ht="12.75" customHeight="1" x14ac:dyDescent="0.2">
      <c r="A69" s="98" t="s">
        <v>6</v>
      </c>
      <c r="B69" s="99">
        <v>46603</v>
      </c>
      <c r="C69" s="100">
        <v>22897</v>
      </c>
      <c r="D69" s="100">
        <v>15213</v>
      </c>
      <c r="E69" s="100">
        <v>10170</v>
      </c>
      <c r="F69" s="100">
        <v>5549</v>
      </c>
      <c r="G69" s="100">
        <v>2589</v>
      </c>
      <c r="H69" s="100">
        <v>1134</v>
      </c>
      <c r="I69" s="100">
        <v>469</v>
      </c>
      <c r="J69" s="100">
        <v>196</v>
      </c>
      <c r="K69" s="100">
        <v>99</v>
      </c>
      <c r="L69" s="100">
        <v>37</v>
      </c>
      <c r="M69" s="100">
        <v>19</v>
      </c>
      <c r="N69" s="100">
        <v>9</v>
      </c>
      <c r="O69" s="100">
        <v>10</v>
      </c>
      <c r="P69" s="100">
        <v>6</v>
      </c>
      <c r="Q69" s="101">
        <v>2.2599999999999998</v>
      </c>
      <c r="R69" s="97">
        <v>105000</v>
      </c>
    </row>
    <row r="70" spans="1:18" ht="12.75" customHeight="1" x14ac:dyDescent="0.2">
      <c r="A70" s="98" t="s">
        <v>7</v>
      </c>
      <c r="B70" s="99">
        <v>50640</v>
      </c>
      <c r="C70" s="100">
        <v>24203</v>
      </c>
      <c r="D70" s="100">
        <v>15673</v>
      </c>
      <c r="E70" s="100">
        <v>9686</v>
      </c>
      <c r="F70" s="100">
        <v>5015</v>
      </c>
      <c r="G70" s="100">
        <v>2187</v>
      </c>
      <c r="H70" s="100">
        <v>894</v>
      </c>
      <c r="I70" s="100">
        <v>348</v>
      </c>
      <c r="J70" s="100">
        <v>106</v>
      </c>
      <c r="K70" s="100">
        <v>57</v>
      </c>
      <c r="L70" s="100">
        <v>25</v>
      </c>
      <c r="M70" s="100">
        <v>9</v>
      </c>
      <c r="N70" s="100">
        <v>2</v>
      </c>
      <c r="O70" s="100">
        <v>2</v>
      </c>
      <c r="P70" s="100">
        <v>1</v>
      </c>
      <c r="Q70" s="101">
        <v>2.15</v>
      </c>
      <c r="R70" s="97">
        <v>108848</v>
      </c>
    </row>
    <row r="71" spans="1:18" ht="12.75" customHeight="1" x14ac:dyDescent="0.2">
      <c r="A71" s="98" t="s">
        <v>8</v>
      </c>
      <c r="B71" s="102">
        <v>54922</v>
      </c>
      <c r="C71" s="100">
        <v>25900</v>
      </c>
      <c r="D71" s="100">
        <v>16624</v>
      </c>
      <c r="E71" s="100">
        <v>10569</v>
      </c>
      <c r="F71" s="100">
        <v>5609</v>
      </c>
      <c r="G71" s="100">
        <v>2429</v>
      </c>
      <c r="H71" s="100">
        <v>898</v>
      </c>
      <c r="I71" s="100">
        <v>376</v>
      </c>
      <c r="J71" s="100">
        <v>128</v>
      </c>
      <c r="K71" s="100">
        <v>42</v>
      </c>
      <c r="L71" s="100">
        <v>20</v>
      </c>
      <c r="M71" s="100">
        <v>11</v>
      </c>
      <c r="N71" s="100">
        <v>4</v>
      </c>
      <c r="O71" s="100">
        <v>5</v>
      </c>
      <c r="P71" s="100">
        <v>3</v>
      </c>
      <c r="Q71" s="103">
        <v>2.2000000000000002</v>
      </c>
      <c r="R71" s="104">
        <v>117544</v>
      </c>
    </row>
    <row r="72" spans="1:18" ht="12.75" customHeight="1" x14ac:dyDescent="0.2">
      <c r="A72" s="98" t="s">
        <v>9</v>
      </c>
      <c r="B72" s="102">
        <v>61312</v>
      </c>
      <c r="C72" s="100">
        <v>27698</v>
      </c>
      <c r="D72" s="100">
        <v>17910</v>
      </c>
      <c r="E72" s="100">
        <v>11678</v>
      </c>
      <c r="F72" s="100">
        <v>6575</v>
      </c>
      <c r="G72" s="100">
        <v>3023</v>
      </c>
      <c r="H72" s="100">
        <v>1235</v>
      </c>
      <c r="I72" s="100">
        <v>525</v>
      </c>
      <c r="J72" s="100">
        <v>210</v>
      </c>
      <c r="K72" s="100">
        <v>98</v>
      </c>
      <c r="L72" s="100">
        <v>47</v>
      </c>
      <c r="M72" s="100">
        <v>19</v>
      </c>
      <c r="N72" s="100">
        <v>12</v>
      </c>
      <c r="O72" s="100">
        <v>4</v>
      </c>
      <c r="P72" s="100">
        <v>7</v>
      </c>
      <c r="Q72" s="103">
        <v>2.2000000000000002</v>
      </c>
      <c r="R72" s="104">
        <v>130353</v>
      </c>
    </row>
    <row r="73" spans="1:18" ht="12.75" customHeight="1" x14ac:dyDescent="0.2">
      <c r="A73" s="98" t="s">
        <v>10</v>
      </c>
      <c r="B73" s="102">
        <v>68347</v>
      </c>
      <c r="C73" s="100">
        <v>30691</v>
      </c>
      <c r="D73" s="100">
        <v>19069</v>
      </c>
      <c r="E73" s="100">
        <v>12517</v>
      </c>
      <c r="F73" s="100">
        <v>7234</v>
      </c>
      <c r="G73" s="100">
        <v>3466</v>
      </c>
      <c r="H73" s="100">
        <v>1528</v>
      </c>
      <c r="I73" s="100">
        <v>652</v>
      </c>
      <c r="J73" s="100">
        <v>312</v>
      </c>
      <c r="K73" s="100">
        <v>152</v>
      </c>
      <c r="L73" s="100">
        <v>66</v>
      </c>
      <c r="M73" s="100">
        <v>35</v>
      </c>
      <c r="N73" s="100">
        <v>17</v>
      </c>
      <c r="O73" s="100">
        <v>11</v>
      </c>
      <c r="P73" s="100">
        <v>13</v>
      </c>
      <c r="Q73" s="103">
        <v>2.2000000000000002</v>
      </c>
      <c r="R73" s="104">
        <v>130934</v>
      </c>
    </row>
    <row r="74" spans="1:18" ht="12.75" customHeight="1" x14ac:dyDescent="0.2">
      <c r="A74" s="98" t="s">
        <v>11</v>
      </c>
      <c r="B74" s="102">
        <v>66300</v>
      </c>
      <c r="C74" s="100">
        <v>28675</v>
      </c>
      <c r="D74" s="100">
        <v>17859</v>
      </c>
      <c r="E74" s="100">
        <v>11902</v>
      </c>
      <c r="F74" s="100">
        <v>7035</v>
      </c>
      <c r="G74" s="100">
        <v>3515</v>
      </c>
      <c r="H74" s="100">
        <v>1527</v>
      </c>
      <c r="I74" s="100">
        <v>699</v>
      </c>
      <c r="J74" s="100">
        <v>300</v>
      </c>
      <c r="K74" s="100">
        <v>132</v>
      </c>
      <c r="L74" s="100">
        <v>62</v>
      </c>
      <c r="M74" s="100">
        <v>45</v>
      </c>
      <c r="N74" s="100">
        <v>12</v>
      </c>
      <c r="O74" s="100">
        <v>15</v>
      </c>
      <c r="P74" s="100">
        <v>17</v>
      </c>
      <c r="Q74" s="103">
        <v>2.2000000000000002</v>
      </c>
      <c r="R74" s="104">
        <v>137836</v>
      </c>
    </row>
    <row r="75" spans="1:18" ht="12.75" customHeight="1" x14ac:dyDescent="0.2">
      <c r="A75" s="98" t="s">
        <v>12</v>
      </c>
      <c r="B75" s="102">
        <v>71660</v>
      </c>
      <c r="C75" s="100">
        <v>29567</v>
      </c>
      <c r="D75" s="100">
        <v>18599</v>
      </c>
      <c r="E75" s="100">
        <v>12342</v>
      </c>
      <c r="F75" s="100">
        <v>7285</v>
      </c>
      <c r="G75" s="100">
        <v>3864</v>
      </c>
      <c r="H75" s="100">
        <v>1789</v>
      </c>
      <c r="I75" s="100">
        <v>872</v>
      </c>
      <c r="J75" s="100">
        <v>398</v>
      </c>
      <c r="K75" s="100">
        <v>189</v>
      </c>
      <c r="L75" s="100">
        <v>116</v>
      </c>
      <c r="M75" s="100">
        <v>50</v>
      </c>
      <c r="N75" s="100">
        <v>33</v>
      </c>
      <c r="O75" s="100">
        <v>10</v>
      </c>
      <c r="P75" s="100">
        <v>27</v>
      </c>
      <c r="Q75" s="103">
        <v>2.2000000000000002</v>
      </c>
      <c r="R75" s="104">
        <v>146800</v>
      </c>
    </row>
    <row r="76" spans="1:18" ht="12.75" customHeight="1" x14ac:dyDescent="0.2">
      <c r="A76" s="98" t="s">
        <v>13</v>
      </c>
      <c r="B76" s="102">
        <v>74231</v>
      </c>
      <c r="C76" s="100">
        <v>29360</v>
      </c>
      <c r="D76" s="100">
        <v>17823</v>
      </c>
      <c r="E76" s="100">
        <v>11541</v>
      </c>
      <c r="F76" s="100">
        <v>6906</v>
      </c>
      <c r="G76" s="100">
        <v>3578</v>
      </c>
      <c r="H76" s="100">
        <v>1844</v>
      </c>
      <c r="I76" s="100">
        <v>911</v>
      </c>
      <c r="J76" s="100">
        <v>483</v>
      </c>
      <c r="K76" s="100">
        <v>247</v>
      </c>
      <c r="L76" s="100">
        <v>145</v>
      </c>
      <c r="M76" s="100">
        <v>82</v>
      </c>
      <c r="N76" s="100">
        <v>51</v>
      </c>
      <c r="O76" s="100">
        <v>26</v>
      </c>
      <c r="P76" s="100">
        <v>48</v>
      </c>
      <c r="Q76" s="103">
        <v>2.1730085010456559</v>
      </c>
      <c r="R76" s="104">
        <v>147276</v>
      </c>
    </row>
    <row r="77" spans="1:18" ht="12.75" customHeight="1" x14ac:dyDescent="0.2">
      <c r="A77" s="106" t="s">
        <v>14</v>
      </c>
      <c r="B77" s="100">
        <v>72892</v>
      </c>
      <c r="C77" s="100">
        <v>29117</v>
      </c>
      <c r="D77" s="100">
        <v>17949</v>
      </c>
      <c r="E77" s="100">
        <v>11611</v>
      </c>
      <c r="F77" s="100">
        <v>6974</v>
      </c>
      <c r="G77" s="100">
        <v>3835</v>
      </c>
      <c r="H77" s="100">
        <v>1898</v>
      </c>
      <c r="I77" s="100">
        <v>1092</v>
      </c>
      <c r="J77" s="100">
        <v>546</v>
      </c>
      <c r="K77" s="100">
        <v>318</v>
      </c>
      <c r="L77" s="100">
        <v>153</v>
      </c>
      <c r="M77" s="100">
        <v>95</v>
      </c>
      <c r="N77" s="100">
        <v>44</v>
      </c>
      <c r="O77" s="100">
        <v>25</v>
      </c>
      <c r="P77" s="100">
        <v>71</v>
      </c>
      <c r="Q77" s="107">
        <v>2.2127335970536079</v>
      </c>
      <c r="R77" s="104">
        <v>146620</v>
      </c>
    </row>
    <row r="78" spans="1:18" ht="12.75" customHeight="1" x14ac:dyDescent="0.2">
      <c r="A78" s="106" t="s">
        <v>15</v>
      </c>
      <c r="B78" s="100">
        <v>74452</v>
      </c>
      <c r="C78" s="100">
        <v>30281</v>
      </c>
      <c r="D78" s="100">
        <v>19043</v>
      </c>
      <c r="E78" s="100">
        <v>11905</v>
      </c>
      <c r="F78" s="100">
        <v>6987</v>
      </c>
      <c r="G78" s="100">
        <v>3792</v>
      </c>
      <c r="H78" s="100">
        <v>1958</v>
      </c>
      <c r="I78" s="100">
        <v>1010</v>
      </c>
      <c r="J78" s="100">
        <v>504</v>
      </c>
      <c r="K78" s="100">
        <v>283</v>
      </c>
      <c r="L78" s="100">
        <v>147</v>
      </c>
      <c r="M78" s="100">
        <v>90</v>
      </c>
      <c r="N78" s="100">
        <v>40</v>
      </c>
      <c r="O78" s="100">
        <v>30</v>
      </c>
      <c r="P78" s="100">
        <v>66</v>
      </c>
      <c r="Q78" s="107">
        <v>2.2007331261455438</v>
      </c>
      <c r="R78" s="104">
        <v>150588</v>
      </c>
    </row>
    <row r="79" spans="1:18" ht="12.75" customHeight="1" x14ac:dyDescent="0.2">
      <c r="A79" s="106" t="s">
        <v>16</v>
      </c>
      <c r="B79" s="100">
        <v>73347</v>
      </c>
      <c r="C79" s="100">
        <v>30563</v>
      </c>
      <c r="D79" s="100">
        <v>18855</v>
      </c>
      <c r="E79" s="100">
        <v>12058</v>
      </c>
      <c r="F79" s="100">
        <v>6939</v>
      </c>
      <c r="G79" s="100">
        <v>3730</v>
      </c>
      <c r="H79" s="100">
        <v>2004</v>
      </c>
      <c r="I79" s="100">
        <v>976</v>
      </c>
      <c r="J79" s="100">
        <v>523</v>
      </c>
      <c r="K79" s="100">
        <v>243</v>
      </c>
      <c r="L79" s="100">
        <v>147</v>
      </c>
      <c r="M79" s="100">
        <v>118</v>
      </c>
      <c r="N79" s="100">
        <v>38</v>
      </c>
      <c r="O79" s="100">
        <v>29</v>
      </c>
      <c r="P79" s="100">
        <v>43</v>
      </c>
      <c r="Q79" s="107">
        <v>2.2055770554697789</v>
      </c>
      <c r="R79" s="104">
        <v>149613</v>
      </c>
    </row>
    <row r="80" spans="1:18" ht="12.75" customHeight="1" x14ac:dyDescent="0.2">
      <c r="A80" s="106" t="s">
        <v>17</v>
      </c>
      <c r="B80" s="100">
        <v>67999</v>
      </c>
      <c r="C80" s="100">
        <v>29972</v>
      </c>
      <c r="D80" s="100">
        <v>18399</v>
      </c>
      <c r="E80" s="100">
        <v>11383</v>
      </c>
      <c r="F80" s="100">
        <v>6499</v>
      </c>
      <c r="G80" s="100">
        <v>3351</v>
      </c>
      <c r="H80" s="100">
        <v>1696</v>
      </c>
      <c r="I80" s="100">
        <v>790</v>
      </c>
      <c r="J80" s="100">
        <v>443</v>
      </c>
      <c r="K80" s="100">
        <v>226</v>
      </c>
      <c r="L80" s="100">
        <v>129</v>
      </c>
      <c r="M80" s="100">
        <v>70</v>
      </c>
      <c r="N80" s="100">
        <v>41</v>
      </c>
      <c r="O80" s="100">
        <v>21</v>
      </c>
      <c r="P80" s="100">
        <f t="shared" ref="P80:P84" si="75">R80-SUM(B80:O80)</f>
        <v>35</v>
      </c>
      <c r="Q80" s="107">
        <f>+'vš_druh studia '!D93/'vš_druh studia '!E93</f>
        <v>2.1938548357366683</v>
      </c>
      <c r="R80" s="104">
        <f>+'vš_druh studia '!E93</f>
        <v>141054</v>
      </c>
    </row>
    <row r="81" spans="1:18" ht="12.75" customHeight="1" x14ac:dyDescent="0.2">
      <c r="A81" s="106" t="s">
        <v>35</v>
      </c>
      <c r="B81" s="100">
        <v>65102</v>
      </c>
      <c r="C81" s="100">
        <v>28667</v>
      </c>
      <c r="D81" s="100">
        <v>17791</v>
      </c>
      <c r="E81" s="100">
        <v>10677</v>
      </c>
      <c r="F81" s="100">
        <v>5960</v>
      </c>
      <c r="G81" s="100">
        <v>3045</v>
      </c>
      <c r="H81" s="100">
        <v>1435</v>
      </c>
      <c r="I81" s="100">
        <v>745</v>
      </c>
      <c r="J81" s="100">
        <v>366</v>
      </c>
      <c r="K81" s="100">
        <v>194</v>
      </c>
      <c r="L81" s="100">
        <v>102</v>
      </c>
      <c r="M81" s="100">
        <v>53</v>
      </c>
      <c r="N81" s="100">
        <v>27</v>
      </c>
      <c r="O81" s="100">
        <v>24</v>
      </c>
      <c r="P81" s="100">
        <f t="shared" si="75"/>
        <v>69</v>
      </c>
      <c r="Q81" s="107">
        <f>+'vš_druh studia '!D101/'vš_druh studia '!E101</f>
        <v>2.1671346745421096</v>
      </c>
      <c r="R81" s="104">
        <f>+'vš_druh studia '!E101</f>
        <v>134257</v>
      </c>
    </row>
    <row r="82" spans="1:18" ht="12.75" customHeight="1" x14ac:dyDescent="0.2">
      <c r="A82" s="106" t="s">
        <v>542</v>
      </c>
      <c r="B82" s="100">
        <v>59967</v>
      </c>
      <c r="C82" s="100">
        <v>26168</v>
      </c>
      <c r="D82" s="100">
        <v>15859</v>
      </c>
      <c r="E82" s="100">
        <v>9399</v>
      </c>
      <c r="F82" s="100">
        <v>4967</v>
      </c>
      <c r="G82" s="100">
        <v>2675</v>
      </c>
      <c r="H82" s="100">
        <v>1243</v>
      </c>
      <c r="I82" s="100">
        <v>686</v>
      </c>
      <c r="J82" s="100">
        <v>351</v>
      </c>
      <c r="K82" s="100">
        <v>196</v>
      </c>
      <c r="L82" s="100">
        <v>116</v>
      </c>
      <c r="M82" s="100">
        <v>51</v>
      </c>
      <c r="N82" s="100">
        <v>31</v>
      </c>
      <c r="O82" s="100">
        <v>16</v>
      </c>
      <c r="P82" s="100">
        <f t="shared" si="75"/>
        <v>36</v>
      </c>
      <c r="Q82" s="107">
        <f>+'vš_druh studia '!D109/'vš_druh studia '!E109</f>
        <v>2.1391660712379168</v>
      </c>
      <c r="R82" s="104">
        <f>+'vš_druh studia '!E109</f>
        <v>121761</v>
      </c>
    </row>
    <row r="83" spans="1:18" ht="12.75" customHeight="1" x14ac:dyDescent="0.2">
      <c r="A83" s="106" t="s">
        <v>544</v>
      </c>
      <c r="B83" s="100">
        <v>55397</v>
      </c>
      <c r="C83" s="100">
        <v>24191</v>
      </c>
      <c r="D83" s="100">
        <v>14856</v>
      </c>
      <c r="E83" s="100">
        <v>8736</v>
      </c>
      <c r="F83" s="100">
        <v>4801</v>
      </c>
      <c r="G83" s="100">
        <v>2409</v>
      </c>
      <c r="H83" s="100">
        <v>1307</v>
      </c>
      <c r="I83" s="100">
        <v>648</v>
      </c>
      <c r="J83" s="100">
        <v>301</v>
      </c>
      <c r="K83" s="100">
        <v>191</v>
      </c>
      <c r="L83" s="100">
        <v>89</v>
      </c>
      <c r="M83" s="100">
        <v>58</v>
      </c>
      <c r="N83" s="100">
        <v>33</v>
      </c>
      <c r="O83" s="100">
        <v>15</v>
      </c>
      <c r="P83" s="100">
        <f t="shared" si="75"/>
        <v>61</v>
      </c>
      <c r="Q83" s="107">
        <f>+'vš_druh studia '!D117/'vš_druh studia '!E117</f>
        <v>2.1550228572944392</v>
      </c>
      <c r="R83" s="104">
        <f>+'vš_druh studia '!E117</f>
        <v>113093</v>
      </c>
    </row>
    <row r="84" spans="1:18" ht="12.75" customHeight="1" x14ac:dyDescent="0.2">
      <c r="A84" s="106" t="s">
        <v>551</v>
      </c>
      <c r="B84" s="100">
        <v>50036</v>
      </c>
      <c r="C84" s="100">
        <v>21867</v>
      </c>
      <c r="D84" s="100">
        <v>13382</v>
      </c>
      <c r="E84" s="100">
        <v>8089</v>
      </c>
      <c r="F84" s="100">
        <v>4480</v>
      </c>
      <c r="G84" s="100">
        <v>2336</v>
      </c>
      <c r="H84" s="100">
        <v>1222</v>
      </c>
      <c r="I84" s="100">
        <v>628</v>
      </c>
      <c r="J84" s="100">
        <v>337</v>
      </c>
      <c r="K84" s="100">
        <v>195</v>
      </c>
      <c r="L84" s="100">
        <v>89</v>
      </c>
      <c r="M84" s="100">
        <v>50</v>
      </c>
      <c r="N84" s="100">
        <v>19</v>
      </c>
      <c r="O84" s="100">
        <v>20</v>
      </c>
      <c r="P84" s="100">
        <f t="shared" si="75"/>
        <v>41</v>
      </c>
      <c r="Q84" s="107">
        <f>+'vš_druh studia '!D125/'vš_druh studia '!E125</f>
        <v>2.1806481112159624</v>
      </c>
      <c r="R84" s="104">
        <f>+'vš_druh studia '!E125</f>
        <v>102791</v>
      </c>
    </row>
    <row r="85" spans="1:18" ht="12.75" customHeight="1" x14ac:dyDescent="0.2">
      <c r="A85" s="106" t="s">
        <v>561</v>
      </c>
      <c r="B85" s="100">
        <v>47542</v>
      </c>
      <c r="C85" s="100">
        <v>21268</v>
      </c>
      <c r="D85" s="100">
        <v>12861</v>
      </c>
      <c r="E85" s="100">
        <v>7484</v>
      </c>
      <c r="F85" s="100">
        <v>4089</v>
      </c>
      <c r="G85" s="100">
        <v>2268</v>
      </c>
      <c r="H85" s="100">
        <v>1133</v>
      </c>
      <c r="I85" s="100">
        <v>590</v>
      </c>
      <c r="J85" s="100">
        <v>311</v>
      </c>
      <c r="K85" s="100">
        <v>190</v>
      </c>
      <c r="L85" s="100">
        <v>114</v>
      </c>
      <c r="M85" s="100">
        <v>56</v>
      </c>
      <c r="N85" s="100">
        <v>35</v>
      </c>
      <c r="O85" s="100">
        <v>24</v>
      </c>
      <c r="P85" s="100">
        <f t="shared" ref="P85" si="76">R85-SUM(B85:O85)</f>
        <v>33</v>
      </c>
      <c r="Q85" s="107">
        <f>+'vš_druh studia '!D133/'vš_druh studia '!E133</f>
        <v>2.1767485050715321</v>
      </c>
      <c r="R85" s="104">
        <f>+'vš_druh studia '!E133</f>
        <v>97998</v>
      </c>
    </row>
    <row r="86" spans="1:18" ht="12.75" customHeight="1" x14ac:dyDescent="0.2">
      <c r="A86" s="106" t="s">
        <v>586</v>
      </c>
      <c r="B86" s="100">
        <v>46565</v>
      </c>
      <c r="C86" s="100">
        <v>20887</v>
      </c>
      <c r="D86" s="100">
        <v>12268</v>
      </c>
      <c r="E86" s="100">
        <v>7158</v>
      </c>
      <c r="F86" s="100">
        <v>4063</v>
      </c>
      <c r="G86" s="100">
        <v>2091</v>
      </c>
      <c r="H86" s="100">
        <v>948</v>
      </c>
      <c r="I86" s="100">
        <v>535</v>
      </c>
      <c r="J86" s="100">
        <v>285</v>
      </c>
      <c r="K86" s="100">
        <v>137</v>
      </c>
      <c r="L86" s="100">
        <v>83</v>
      </c>
      <c r="M86" s="100">
        <v>46</v>
      </c>
      <c r="N86" s="100">
        <v>34</v>
      </c>
      <c r="O86" s="100">
        <v>14</v>
      </c>
      <c r="P86" s="100">
        <f t="shared" ref="P86" si="77">R86-SUM(B86:O86)</f>
        <v>23</v>
      </c>
      <c r="Q86" s="107">
        <f>+'vš_druh studia '!D141/'vš_druh studia '!E141</f>
        <v>2.1448332404847745</v>
      </c>
      <c r="R86" s="104">
        <f>+'vš_druh studia '!E141</f>
        <v>95137</v>
      </c>
    </row>
    <row r="87" spans="1:18" ht="12.75" customHeight="1" x14ac:dyDescent="0.2">
      <c r="A87" s="106" t="s">
        <v>590</v>
      </c>
      <c r="B87" s="100">
        <v>47460</v>
      </c>
      <c r="C87" s="100">
        <v>21614</v>
      </c>
      <c r="D87" s="100">
        <v>13093</v>
      </c>
      <c r="E87" s="100">
        <v>7437</v>
      </c>
      <c r="F87" s="100">
        <v>4090</v>
      </c>
      <c r="G87" s="100">
        <v>2136</v>
      </c>
      <c r="H87" s="100">
        <v>1101</v>
      </c>
      <c r="I87" s="100">
        <v>545</v>
      </c>
      <c r="J87" s="100">
        <v>279</v>
      </c>
      <c r="K87" s="100">
        <v>150</v>
      </c>
      <c r="L87" s="100">
        <v>93</v>
      </c>
      <c r="M87" s="100">
        <v>54</v>
      </c>
      <c r="N87" s="100">
        <v>33</v>
      </c>
      <c r="O87" s="100">
        <v>16</v>
      </c>
      <c r="P87" s="100">
        <v>26</v>
      </c>
      <c r="Q87" s="107">
        <f>+'vš_druh studia '!D149/'vš_druh studia '!E149</f>
        <v>2.1548299652491161</v>
      </c>
      <c r="R87" s="104">
        <f>+'vš_druh studia '!E149</f>
        <v>98127</v>
      </c>
    </row>
    <row r="88" spans="1:18" ht="12.75" customHeight="1" x14ac:dyDescent="0.2">
      <c r="A88" s="106" t="s">
        <v>593</v>
      </c>
      <c r="B88" s="100">
        <v>48257</v>
      </c>
      <c r="C88" s="100">
        <v>21987</v>
      </c>
      <c r="D88" s="100">
        <v>12899</v>
      </c>
      <c r="E88" s="100">
        <v>7458</v>
      </c>
      <c r="F88" s="100">
        <v>3916</v>
      </c>
      <c r="G88" s="100">
        <v>2099</v>
      </c>
      <c r="H88" s="100">
        <v>1071</v>
      </c>
      <c r="I88" s="100">
        <v>571</v>
      </c>
      <c r="J88" s="100">
        <v>282</v>
      </c>
      <c r="K88" s="100">
        <v>133</v>
      </c>
      <c r="L88" s="100">
        <v>76</v>
      </c>
      <c r="M88" s="100">
        <v>38</v>
      </c>
      <c r="N88" s="100">
        <v>35</v>
      </c>
      <c r="O88" s="100">
        <v>12</v>
      </c>
      <c r="P88" s="100">
        <v>34</v>
      </c>
      <c r="Q88" s="103">
        <f>+'vš_druh studia '!D157/'vš_druh studia '!E157</f>
        <v>2.1386798559695754</v>
      </c>
      <c r="R88" s="104">
        <f>+'vš_druh studia '!E157</f>
        <v>98868</v>
      </c>
    </row>
    <row r="89" spans="1:18" ht="12.75" customHeight="1" x14ac:dyDescent="0.2">
      <c r="A89" s="106" t="s">
        <v>596</v>
      </c>
      <c r="B89" s="100">
        <v>46795</v>
      </c>
      <c r="C89" s="100">
        <v>23225</v>
      </c>
      <c r="D89" s="100">
        <v>14252</v>
      </c>
      <c r="E89" s="100">
        <v>8418</v>
      </c>
      <c r="F89" s="100">
        <v>4765</v>
      </c>
      <c r="G89" s="100">
        <v>2390</v>
      </c>
      <c r="H89" s="100">
        <v>1190</v>
      </c>
      <c r="I89" s="100">
        <v>598</v>
      </c>
      <c r="J89" s="100">
        <v>317</v>
      </c>
      <c r="K89" s="100">
        <v>180</v>
      </c>
      <c r="L89" s="100">
        <v>92</v>
      </c>
      <c r="M89" s="100">
        <v>64</v>
      </c>
      <c r="N89" s="100">
        <v>24</v>
      </c>
      <c r="O89" s="100">
        <v>19</v>
      </c>
      <c r="P89" s="100">
        <v>15</v>
      </c>
      <c r="Q89" s="103">
        <f>+'vš_druh studia '!D165/'vš_druh studia '!E165</f>
        <v>2.2322602706267403</v>
      </c>
      <c r="R89" s="104">
        <f>+'vš_druh studia '!E165</f>
        <v>102355</v>
      </c>
    </row>
    <row r="90" spans="1:18" ht="12.75" customHeight="1" x14ac:dyDescent="0.2">
      <c r="A90" s="106" t="s">
        <v>603</v>
      </c>
      <c r="B90" s="100">
        <v>44756</v>
      </c>
      <c r="C90" s="100">
        <v>22968</v>
      </c>
      <c r="D90" s="100">
        <v>14111</v>
      </c>
      <c r="E90" s="100">
        <v>8749</v>
      </c>
      <c r="F90" s="100">
        <v>4916</v>
      </c>
      <c r="G90" s="100">
        <v>2597</v>
      </c>
      <c r="H90" s="100">
        <v>1336</v>
      </c>
      <c r="I90" s="100">
        <v>688</v>
      </c>
      <c r="J90" s="100">
        <v>363</v>
      </c>
      <c r="K90" s="100">
        <v>200</v>
      </c>
      <c r="L90" s="100">
        <v>96</v>
      </c>
      <c r="M90" s="100">
        <v>57</v>
      </c>
      <c r="N90" s="100">
        <v>45</v>
      </c>
      <c r="O90" s="100">
        <v>22</v>
      </c>
      <c r="P90" s="100">
        <v>45</v>
      </c>
      <c r="Q90" s="103">
        <f>+'vš_druh studia '!D166/'vš_druh studia '!E166</f>
        <v>2.4758560597193502</v>
      </c>
      <c r="R90" s="104">
        <f>+'vš_druh studia '!E173</f>
        <v>100748</v>
      </c>
    </row>
    <row r="91" spans="1:18" ht="12.75" customHeight="1" x14ac:dyDescent="0.2">
      <c r="A91" s="106" t="s">
        <v>606</v>
      </c>
      <c r="B91" s="100">
        <v>45199</v>
      </c>
      <c r="C91" s="100">
        <v>23557</v>
      </c>
      <c r="D91" s="100">
        <v>15001</v>
      </c>
      <c r="E91" s="100">
        <v>9236</v>
      </c>
      <c r="F91" s="100">
        <v>5276</v>
      </c>
      <c r="G91" s="100">
        <v>3024</v>
      </c>
      <c r="H91" s="100">
        <v>1518</v>
      </c>
      <c r="I91" s="100">
        <v>882</v>
      </c>
      <c r="J91" s="100">
        <v>441</v>
      </c>
      <c r="K91" s="100">
        <v>249</v>
      </c>
      <c r="L91" s="100">
        <v>140</v>
      </c>
      <c r="M91" s="100">
        <v>85</v>
      </c>
      <c r="N91" s="100">
        <v>50</v>
      </c>
      <c r="O91" s="100">
        <v>17</v>
      </c>
      <c r="P91" s="100">
        <v>45</v>
      </c>
      <c r="Q91" s="103">
        <f>+'vš_druh studia '!D167/'vš_druh studia '!E167</f>
        <v>2.2148661797152291</v>
      </c>
      <c r="R91" s="104">
        <f>+'vš_druh studia '!E181</f>
        <v>104596</v>
      </c>
    </row>
    <row r="92" spans="1:18" ht="12.75" customHeight="1" x14ac:dyDescent="0.2">
      <c r="A92" s="106" t="s">
        <v>611</v>
      </c>
      <c r="B92" s="100">
        <v>45580</v>
      </c>
      <c r="C92" s="100">
        <v>23985</v>
      </c>
      <c r="D92" s="100">
        <v>15624</v>
      </c>
      <c r="E92" s="100">
        <v>9646</v>
      </c>
      <c r="F92" s="100">
        <v>5651</v>
      </c>
      <c r="G92" s="100">
        <v>3051</v>
      </c>
      <c r="H92" s="100">
        <v>1689</v>
      </c>
      <c r="I92" s="100">
        <v>987</v>
      </c>
      <c r="J92" s="100">
        <v>445</v>
      </c>
      <c r="K92" s="100">
        <v>262</v>
      </c>
      <c r="L92" s="100">
        <v>161</v>
      </c>
      <c r="M92" s="100">
        <v>79</v>
      </c>
      <c r="N92" s="100">
        <v>36</v>
      </c>
      <c r="O92" s="100">
        <v>32</v>
      </c>
      <c r="P92" s="100">
        <v>65</v>
      </c>
      <c r="Q92" s="103">
        <f>+'vš_druh studia '!D168/'vš_druh studia '!E168</f>
        <v>2.1911910386344586</v>
      </c>
      <c r="R92" s="104">
        <f>+'vš_druh studia '!E189</f>
        <v>107140</v>
      </c>
    </row>
    <row r="93" spans="1:18" ht="12.75" customHeight="1" thickBot="1" x14ac:dyDescent="0.25">
      <c r="A93" s="672" t="s">
        <v>618</v>
      </c>
      <c r="B93" s="108">
        <v>46171</v>
      </c>
      <c r="C93" s="108">
        <v>24914</v>
      </c>
      <c r="D93" s="108">
        <v>16783</v>
      </c>
      <c r="E93" s="108">
        <v>10194</v>
      </c>
      <c r="F93" s="108">
        <v>5745</v>
      </c>
      <c r="G93" s="108">
        <v>3418</v>
      </c>
      <c r="H93" s="108">
        <v>1775</v>
      </c>
      <c r="I93" s="108">
        <v>1009</v>
      </c>
      <c r="J93" s="108">
        <v>577</v>
      </c>
      <c r="K93" s="108">
        <v>294</v>
      </c>
      <c r="L93" s="108">
        <v>193</v>
      </c>
      <c r="M93" s="108">
        <v>106</v>
      </c>
      <c r="N93" s="108">
        <v>70</v>
      </c>
      <c r="O93" s="108">
        <v>47</v>
      </c>
      <c r="P93" s="108">
        <v>76</v>
      </c>
      <c r="Q93" s="649">
        <f>+'vš_druh studia '!D169/'vš_druh studia '!E169</f>
        <v>1.2727363815503825</v>
      </c>
      <c r="R93" s="109">
        <f>+'vš_druh studia '!E197</f>
        <v>111357</v>
      </c>
    </row>
    <row r="94" spans="1:18" ht="12.75" customHeight="1" thickTop="1" x14ac:dyDescent="0.2">
      <c r="B94" s="37"/>
      <c r="C94" s="37"/>
      <c r="D94" s="37"/>
      <c r="E94" s="37"/>
      <c r="F94" s="37"/>
      <c r="G94" s="37"/>
      <c r="H94" s="37"/>
      <c r="K94" s="105"/>
      <c r="L94" s="105"/>
      <c r="M94" s="105"/>
      <c r="N94" s="105"/>
      <c r="O94" s="105"/>
      <c r="P94" s="105"/>
      <c r="Q94" s="105"/>
      <c r="R94" s="105"/>
    </row>
    <row r="95" spans="1:18" ht="12.75" customHeight="1" x14ac:dyDescent="0.2">
      <c r="A95" s="5" t="s">
        <v>624</v>
      </c>
      <c r="B95" s="105"/>
      <c r="C95" s="105"/>
      <c r="D95" s="105"/>
      <c r="E95" s="105"/>
      <c r="F95" s="105"/>
      <c r="G95" s="105"/>
      <c r="H95" s="105"/>
      <c r="K95" s="105"/>
      <c r="L95" s="105"/>
      <c r="M95" s="105"/>
      <c r="N95" s="105"/>
      <c r="O95" s="105"/>
      <c r="P95" s="105"/>
      <c r="Q95" s="105"/>
      <c r="R95" s="110"/>
    </row>
    <row r="96" spans="1:18" ht="5.25" customHeight="1" thickBot="1" x14ac:dyDescent="0.25">
      <c r="A96" s="9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</row>
    <row r="97" spans="1:16" ht="12.75" customHeight="1" thickTop="1" x14ac:dyDescent="0.2">
      <c r="A97" s="80"/>
      <c r="B97" s="111" t="s">
        <v>31</v>
      </c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112"/>
    </row>
    <row r="98" spans="1:16" ht="12.75" customHeight="1" thickBot="1" x14ac:dyDescent="0.25">
      <c r="A98" s="83"/>
      <c r="B98" s="84">
        <v>1</v>
      </c>
      <c r="C98" s="85">
        <v>2</v>
      </c>
      <c r="D98" s="85">
        <v>3</v>
      </c>
      <c r="E98" s="85">
        <v>4</v>
      </c>
      <c r="F98" s="85">
        <v>5</v>
      </c>
      <c r="G98" s="85">
        <v>6</v>
      </c>
      <c r="H98" s="85">
        <v>7</v>
      </c>
      <c r="I98" s="85">
        <v>8</v>
      </c>
      <c r="J98" s="85">
        <v>9</v>
      </c>
      <c r="K98" s="85">
        <v>10</v>
      </c>
      <c r="L98" s="85">
        <v>11</v>
      </c>
      <c r="M98" s="85">
        <v>12</v>
      </c>
      <c r="N98" s="85">
        <v>13</v>
      </c>
      <c r="O98" s="113">
        <v>14</v>
      </c>
      <c r="P98" s="114" t="s">
        <v>33</v>
      </c>
    </row>
    <row r="99" spans="1:16" ht="12.75" customHeight="1" thickTop="1" x14ac:dyDescent="0.2">
      <c r="A99" s="88" t="s">
        <v>25</v>
      </c>
      <c r="B99" s="115">
        <v>0.42788584652446482</v>
      </c>
      <c r="C99" s="116">
        <v>0.234433832525584</v>
      </c>
      <c r="D99" s="116">
        <v>0.1601335394595825</v>
      </c>
      <c r="E99" s="116">
        <v>9.8011134611189626E-2</v>
      </c>
      <c r="F99" s="116">
        <v>4.8170945683204187E-2</v>
      </c>
      <c r="G99" s="116">
        <v>1.9698967155742292E-2</v>
      </c>
      <c r="H99" s="116">
        <v>6.9235657311949314E-3</v>
      </c>
      <c r="I99" s="116">
        <v>3.0349877177840794E-3</v>
      </c>
      <c r="J99" s="116">
        <v>1.0243083547521268E-3</v>
      </c>
      <c r="K99" s="116">
        <v>3.6040479148685944E-4</v>
      </c>
      <c r="L99" s="116">
        <v>1.8020239574342972E-4</v>
      </c>
      <c r="M99" s="116">
        <v>6.6390356326526736E-5</v>
      </c>
      <c r="N99" s="116">
        <v>4.7421683090376241E-5</v>
      </c>
      <c r="O99" s="117">
        <v>1.8968673236150498E-5</v>
      </c>
      <c r="P99" s="118">
        <v>9.4843366180752492E-6</v>
      </c>
    </row>
    <row r="100" spans="1:16" ht="12.75" customHeight="1" x14ac:dyDescent="0.2">
      <c r="A100" s="93" t="s">
        <v>5</v>
      </c>
      <c r="B100" s="119">
        <v>0.51241242692177613</v>
      </c>
      <c r="C100" s="120">
        <v>0.21524858675170314</v>
      </c>
      <c r="D100" s="120">
        <v>0.12932309030294245</v>
      </c>
      <c r="E100" s="120">
        <v>7.7470164758177515E-2</v>
      </c>
      <c r="F100" s="120">
        <v>3.8633618398801757E-2</v>
      </c>
      <c r="G100" s="120">
        <v>1.6997632507126638E-2</v>
      </c>
      <c r="H100" s="120">
        <v>6.2617770691404551E-3</v>
      </c>
      <c r="I100" s="120">
        <v>2.1838913852249117E-3</v>
      </c>
      <c r="J100" s="120">
        <v>8.4070155094941295E-4</v>
      </c>
      <c r="K100" s="120">
        <v>3.7686621249456443E-4</v>
      </c>
      <c r="L100" s="120">
        <v>1.2562207083152149E-4</v>
      </c>
      <c r="M100" s="120">
        <v>3.8652944871237379E-5</v>
      </c>
      <c r="N100" s="120">
        <v>4.8316181089046722E-5</v>
      </c>
      <c r="O100" s="121">
        <v>9.6632362178093447E-6</v>
      </c>
      <c r="P100" s="122">
        <v>2.8989708653428032E-5</v>
      </c>
    </row>
    <row r="101" spans="1:16" ht="12.75" customHeight="1" x14ac:dyDescent="0.2">
      <c r="A101" s="98" t="s">
        <v>6</v>
      </c>
      <c r="B101" s="123">
        <v>0.44383809523809525</v>
      </c>
      <c r="C101" s="124">
        <v>0.21806666666666666</v>
      </c>
      <c r="D101" s="124">
        <v>0.14488571428571428</v>
      </c>
      <c r="E101" s="124">
        <v>9.6857142857142864E-2</v>
      </c>
      <c r="F101" s="124">
        <v>5.2847619047619046E-2</v>
      </c>
      <c r="G101" s="124">
        <v>2.4657142857142857E-2</v>
      </c>
      <c r="H101" s="124">
        <v>1.0800000000000001E-2</v>
      </c>
      <c r="I101" s="124">
        <v>4.4666666666666665E-3</v>
      </c>
      <c r="J101" s="124">
        <v>1.8666666666666666E-3</v>
      </c>
      <c r="K101" s="124">
        <v>9.4285714285714285E-4</v>
      </c>
      <c r="L101" s="124">
        <v>3.5238095238095238E-4</v>
      </c>
      <c r="M101" s="124">
        <v>1.8095238095238095E-4</v>
      </c>
      <c r="N101" s="124">
        <v>8.5714285714285713E-5</v>
      </c>
      <c r="O101" s="125">
        <v>9.5238095238095241E-5</v>
      </c>
      <c r="P101" s="122">
        <v>5.7142857142857142E-5</v>
      </c>
    </row>
    <row r="102" spans="1:16" ht="12.75" customHeight="1" x14ac:dyDescent="0.2">
      <c r="A102" s="98" t="s">
        <v>7</v>
      </c>
      <c r="B102" s="123">
        <v>0.46523592532706159</v>
      </c>
      <c r="C102" s="124">
        <v>0.22235594590621785</v>
      </c>
      <c r="D102" s="124">
        <v>0.14398978391885933</v>
      </c>
      <c r="E102" s="124">
        <v>8.8986476554461263E-2</v>
      </c>
      <c r="F102" s="124">
        <v>4.6073423489636924E-2</v>
      </c>
      <c r="G102" s="124">
        <v>2.0092238718212554E-2</v>
      </c>
      <c r="H102" s="124">
        <v>8.2132882551815382E-3</v>
      </c>
      <c r="I102" s="124">
        <v>3.197118918124357E-3</v>
      </c>
      <c r="J102" s="124">
        <v>9.7383507276201672E-4</v>
      </c>
      <c r="K102" s="124">
        <v>5.2366602969278263E-4</v>
      </c>
      <c r="L102" s="124">
        <v>2.2967808319858887E-4</v>
      </c>
      <c r="M102" s="124">
        <v>8.2684109951491986E-5</v>
      </c>
      <c r="N102" s="124">
        <v>1.8374246655887108E-5</v>
      </c>
      <c r="O102" s="125">
        <v>1.8374246655887108E-5</v>
      </c>
      <c r="P102" s="122">
        <v>9.1871233279435542E-6</v>
      </c>
    </row>
    <row r="103" spans="1:16" ht="12.75" customHeight="1" x14ac:dyDescent="0.2">
      <c r="A103" s="98" t="s">
        <v>8</v>
      </c>
      <c r="B103" s="126">
        <v>0.46724630776560305</v>
      </c>
      <c r="C103" s="124">
        <v>0.22</v>
      </c>
      <c r="D103" s="124">
        <v>0.14099999999999999</v>
      </c>
      <c r="E103" s="124">
        <v>0.09</v>
      </c>
      <c r="F103" s="124">
        <v>4.8000000000000001E-2</v>
      </c>
      <c r="G103" s="124">
        <v>2.1000000000000001E-2</v>
      </c>
      <c r="H103" s="124">
        <v>8.0000000000000002E-3</v>
      </c>
      <c r="I103" s="124">
        <v>3.0000000000000001E-3</v>
      </c>
      <c r="J103" s="124">
        <v>1E-3</v>
      </c>
      <c r="K103" s="124">
        <v>2.2967808319858887E-4</v>
      </c>
      <c r="L103" s="124">
        <v>2.2967808319858887E-4</v>
      </c>
      <c r="M103" s="124">
        <v>8.2684109951491986E-5</v>
      </c>
      <c r="N103" s="124">
        <v>1.8374246655887108E-5</v>
      </c>
      <c r="O103" s="125">
        <v>1.8374246655887108E-5</v>
      </c>
      <c r="P103" s="122">
        <v>9.1871233279435542E-6</v>
      </c>
    </row>
    <row r="104" spans="1:16" ht="12.75" customHeight="1" x14ac:dyDescent="0.2">
      <c r="A104" s="98" t="s">
        <v>9</v>
      </c>
      <c r="B104" s="126">
        <v>0.47039999999999998</v>
      </c>
      <c r="C104" s="124">
        <v>0.21249999999999999</v>
      </c>
      <c r="D104" s="124">
        <v>0.13739999999999999</v>
      </c>
      <c r="E104" s="124">
        <v>8.9599999999999999E-2</v>
      </c>
      <c r="F104" s="124">
        <v>5.0439959187744E-2</v>
      </c>
      <c r="G104" s="124">
        <v>2.3190874011338399E-2</v>
      </c>
      <c r="H104" s="124">
        <v>9.4742737029450807E-3</v>
      </c>
      <c r="I104" s="124">
        <v>4.4027525258336902E-3</v>
      </c>
      <c r="J104" s="124">
        <v>1.6110101033347899E-3</v>
      </c>
      <c r="K104" s="124">
        <v>7.51804714889569E-4</v>
      </c>
      <c r="L104" s="124">
        <v>2.2967808319858887E-4</v>
      </c>
      <c r="M104" s="124">
        <v>8.2684109951491986E-5</v>
      </c>
      <c r="N104" s="124">
        <v>1.8374246655887108E-5</v>
      </c>
      <c r="O104" s="125">
        <v>1.8374246655887108E-5</v>
      </c>
      <c r="P104" s="122">
        <v>9.1871233279435542E-6</v>
      </c>
    </row>
    <row r="105" spans="1:16" ht="12.75" customHeight="1" x14ac:dyDescent="0.2">
      <c r="A105" s="98" t="s">
        <v>10</v>
      </c>
      <c r="B105" s="126">
        <v>0.47426965512455765</v>
      </c>
      <c r="C105" s="124">
        <v>0.21296925959336618</v>
      </c>
      <c r="D105" s="124">
        <v>0.1323225313996253</v>
      </c>
      <c r="E105" s="124">
        <v>8.6857261813892167E-2</v>
      </c>
      <c r="F105" s="124">
        <v>5.0197765595725488E-2</v>
      </c>
      <c r="G105" s="124">
        <v>2.4051072097703144E-2</v>
      </c>
      <c r="H105" s="124">
        <v>1.0603011588369994E-2</v>
      </c>
      <c r="I105" s="124">
        <v>4.5243216987023802E-3</v>
      </c>
      <c r="J105" s="124">
        <v>2.1650128374158628E-3</v>
      </c>
      <c r="K105" s="124">
        <v>1.0547498438692666E-3</v>
      </c>
      <c r="L105" s="124">
        <v>4.5798348483797101E-4</v>
      </c>
      <c r="M105" s="124">
        <v>2.4287002983831797E-4</v>
      </c>
      <c r="N105" s="124">
        <v>1.1796544306432587E-4</v>
      </c>
      <c r="O105" s="125">
        <v>7.6330580806328497E-5</v>
      </c>
      <c r="P105" s="122">
        <v>7.6330580806328497E-5</v>
      </c>
    </row>
    <row r="106" spans="1:16" ht="12.75" customHeight="1" x14ac:dyDescent="0.2">
      <c r="A106" s="98" t="s">
        <v>11</v>
      </c>
      <c r="B106" s="126">
        <v>0.48010427604185524</v>
      </c>
      <c r="C106" s="124">
        <v>0.20764690973605127</v>
      </c>
      <c r="D106" s="124">
        <v>0.12932401607588978</v>
      </c>
      <c r="E106" s="124">
        <v>8.6187045150077857E-2</v>
      </c>
      <c r="F106" s="124">
        <v>5.0943191281364285E-2</v>
      </c>
      <c r="G106" s="124">
        <v>2.5453492161193383E-2</v>
      </c>
      <c r="H106" s="124">
        <v>1.1057605271733226E-2</v>
      </c>
      <c r="I106" s="124">
        <v>5.0617328650566637E-3</v>
      </c>
      <c r="J106" s="124">
        <v>2.1724175386509288E-3</v>
      </c>
      <c r="K106" s="124">
        <v>9.5586371700640872E-4</v>
      </c>
      <c r="L106" s="124">
        <v>4.4896629132119191E-4</v>
      </c>
      <c r="M106" s="124">
        <v>3.2586263079763928E-4</v>
      </c>
      <c r="N106" s="124">
        <v>8.6896701546037154E-5</v>
      </c>
      <c r="O106" s="125">
        <v>1.0862087693254644E-4</v>
      </c>
      <c r="P106" s="122">
        <v>7.6330580806328497E-5</v>
      </c>
    </row>
    <row r="107" spans="1:16" ht="12.75" customHeight="1" x14ac:dyDescent="0.2">
      <c r="A107" s="98" t="s">
        <v>12</v>
      </c>
      <c r="B107" s="126">
        <v>0.48814381373423887</v>
      </c>
      <c r="C107" s="124">
        <v>0.20140870974993358</v>
      </c>
      <c r="D107" s="124">
        <v>0.12669532223894933</v>
      </c>
      <c r="E107" s="124">
        <v>8.4072996777951103E-2</v>
      </c>
      <c r="F107" s="124">
        <v>4.9625002554478506E-2</v>
      </c>
      <c r="G107" s="124">
        <v>2.6321346584832529E-2</v>
      </c>
      <c r="H107" s="124">
        <v>1.2186565486611128E-2</v>
      </c>
      <c r="I107" s="124">
        <v>5.940014032601958E-3</v>
      </c>
      <c r="J107" s="124">
        <v>2.7111531937793337E-3</v>
      </c>
      <c r="K107" s="124">
        <v>1.2874571699102867E-3</v>
      </c>
      <c r="L107" s="124">
        <v>7.9018535296081086E-4</v>
      </c>
      <c r="M107" s="124">
        <v>3.4059713489690126E-4</v>
      </c>
      <c r="N107" s="124">
        <v>2.2479410903195483E-4</v>
      </c>
      <c r="O107" s="125">
        <v>6.8119426979380241E-5</v>
      </c>
      <c r="P107" s="122">
        <v>6.8119426979380241E-5</v>
      </c>
    </row>
    <row r="108" spans="1:16" ht="12.75" customHeight="1" x14ac:dyDescent="0.2">
      <c r="A108" s="98" t="s">
        <v>13</v>
      </c>
      <c r="B108" s="126">
        <v>0.50402645373312693</v>
      </c>
      <c r="C108" s="124">
        <v>0.19935359461147775</v>
      </c>
      <c r="D108" s="124">
        <v>0.1210176810885684</v>
      </c>
      <c r="E108" s="124">
        <v>7.8363073413183409E-2</v>
      </c>
      <c r="F108" s="124">
        <v>4.6891550558135743E-2</v>
      </c>
      <c r="G108" s="124">
        <v>2.4294521850131728E-2</v>
      </c>
      <c r="H108" s="124">
        <v>1.2520709416333957E-2</v>
      </c>
      <c r="I108" s="124">
        <v>6.18566500991336E-3</v>
      </c>
      <c r="J108" s="124">
        <v>3.2795567505907275E-3</v>
      </c>
      <c r="K108" s="124">
        <v>1.6771232244221735E-3</v>
      </c>
      <c r="L108" s="124">
        <v>9.8454602243406935E-4</v>
      </c>
      <c r="M108" s="124">
        <v>5.5677775061788756E-4</v>
      </c>
      <c r="N108" s="124">
        <v>3.4628860099405199E-4</v>
      </c>
      <c r="O108" s="125">
        <v>1.7653928678128139E-4</v>
      </c>
      <c r="P108" s="127">
        <v>3.2591868328851953E-4</v>
      </c>
    </row>
    <row r="109" spans="1:16" ht="12.75" customHeight="1" x14ac:dyDescent="0.2">
      <c r="A109" s="98" t="s">
        <v>14</v>
      </c>
      <c r="B109" s="128">
        <v>0.49714909289319331</v>
      </c>
      <c r="C109" s="128">
        <v>0.19858818715045695</v>
      </c>
      <c r="D109" s="128">
        <v>0.12241849679443459</v>
      </c>
      <c r="E109" s="124">
        <v>7.9191106261083069E-2</v>
      </c>
      <c r="F109" s="124">
        <v>4.7565134360933022E-2</v>
      </c>
      <c r="G109" s="124">
        <v>2.6156049652162051E-2</v>
      </c>
      <c r="H109" s="124">
        <v>1.2945027963442914E-2</v>
      </c>
      <c r="I109" s="124">
        <v>7.4478243077342795E-3</v>
      </c>
      <c r="J109" s="124">
        <v>3.7239121538671397E-3</v>
      </c>
      <c r="K109" s="124">
        <v>2.1688719137907516E-3</v>
      </c>
      <c r="L109" s="124">
        <v>1.0435138453144183E-3</v>
      </c>
      <c r="M109" s="124">
        <v>6.4793343336516163E-4</v>
      </c>
      <c r="N109" s="128">
        <v>3.0009548492702221E-4</v>
      </c>
      <c r="O109" s="129">
        <v>1.7050879825398991E-4</v>
      </c>
      <c r="P109" s="127">
        <v>4.8424498704133131E-4</v>
      </c>
    </row>
    <row r="110" spans="1:16" ht="12.75" customHeight="1" x14ac:dyDescent="0.2">
      <c r="A110" s="98" t="s">
        <v>15</v>
      </c>
      <c r="B110" s="128">
        <v>0.49440858501341406</v>
      </c>
      <c r="C110" s="128">
        <v>0.20108507982043722</v>
      </c>
      <c r="D110" s="128">
        <v>0.12645761946503042</v>
      </c>
      <c r="E110" s="124">
        <v>7.9056764151193989E-2</v>
      </c>
      <c r="F110" s="124">
        <v>4.6398119372061522E-2</v>
      </c>
      <c r="G110" s="124">
        <v>2.5181289345764604E-2</v>
      </c>
      <c r="H110" s="124">
        <v>1.3002364066193853E-2</v>
      </c>
      <c r="I110" s="124">
        <v>6.7070417297527031E-3</v>
      </c>
      <c r="J110" s="124">
        <v>3.3468802295003584E-3</v>
      </c>
      <c r="K110" s="124">
        <v>1.8792998114059553E-3</v>
      </c>
      <c r="L110" s="124">
        <v>9.7617340027093792E-4</v>
      </c>
      <c r="M110" s="124">
        <v>5.976571838393497E-4</v>
      </c>
      <c r="N110" s="128">
        <v>2.6562541503971101E-4</v>
      </c>
      <c r="O110" s="129">
        <v>1.9921906127978324E-4</v>
      </c>
      <c r="P110" s="127">
        <v>4.3828193481552317E-4</v>
      </c>
    </row>
    <row r="111" spans="1:16" ht="12.75" customHeight="1" x14ac:dyDescent="0.2">
      <c r="A111" s="98" t="s">
        <v>16</v>
      </c>
      <c r="B111" s="128">
        <f t="shared" ref="B111:P111" si="78">+B79/$R79</f>
        <v>0.49024483166569749</v>
      </c>
      <c r="C111" s="128">
        <f t="shared" si="78"/>
        <v>0.20428037670523283</v>
      </c>
      <c r="D111" s="128">
        <f t="shared" si="78"/>
        <v>0.12602514487377434</v>
      </c>
      <c r="E111" s="124">
        <f t="shared" si="78"/>
        <v>8.0594600736567004E-2</v>
      </c>
      <c r="F111" s="124">
        <f t="shared" si="78"/>
        <v>4.6379659521565642E-2</v>
      </c>
      <c r="G111" s="124">
        <f t="shared" si="78"/>
        <v>2.49309886172993E-2</v>
      </c>
      <c r="H111" s="124">
        <f t="shared" si="78"/>
        <v>1.3394557959535602E-2</v>
      </c>
      <c r="I111" s="124">
        <f t="shared" si="78"/>
        <v>6.5234972896740257E-3</v>
      </c>
      <c r="J111" s="124">
        <f t="shared" si="78"/>
        <v>3.4956855353478642E-3</v>
      </c>
      <c r="K111" s="124">
        <f t="shared" si="78"/>
        <v>1.6241904112610536E-3</v>
      </c>
      <c r="L111" s="124">
        <f t="shared" si="78"/>
        <v>9.8253494014557551E-4</v>
      </c>
      <c r="M111" s="124">
        <f t="shared" si="78"/>
        <v>7.887015165794416E-4</v>
      </c>
      <c r="N111" s="128">
        <f t="shared" si="78"/>
        <v>2.5398862398321001E-4</v>
      </c>
      <c r="O111" s="129">
        <f t="shared" si="78"/>
        <v>1.9383342356613396E-4</v>
      </c>
      <c r="P111" s="127">
        <f t="shared" si="78"/>
        <v>2.874081797704745E-4</v>
      </c>
    </row>
    <row r="112" spans="1:16" ht="12.75" customHeight="1" x14ac:dyDescent="0.2">
      <c r="A112" s="98" t="s">
        <v>17</v>
      </c>
      <c r="B112" s="128">
        <f t="shared" ref="B112:P112" si="79">+B80/$R80</f>
        <v>0.48207778581252569</v>
      </c>
      <c r="C112" s="128">
        <f t="shared" si="79"/>
        <v>0.21248599827016604</v>
      </c>
      <c r="D112" s="128">
        <f t="shared" si="79"/>
        <v>0.13043940618486538</v>
      </c>
      <c r="E112" s="124">
        <f t="shared" si="79"/>
        <v>8.0699590227856E-2</v>
      </c>
      <c r="F112" s="124">
        <f t="shared" si="79"/>
        <v>4.6074553008067835E-2</v>
      </c>
      <c r="G112" s="124">
        <f t="shared" si="79"/>
        <v>2.3756859075247778E-2</v>
      </c>
      <c r="H112" s="124">
        <f t="shared" si="79"/>
        <v>1.2023763948558709E-2</v>
      </c>
      <c r="I112" s="124">
        <f t="shared" si="79"/>
        <v>5.6006919335857188E-3</v>
      </c>
      <c r="J112" s="124">
        <f t="shared" si="79"/>
        <v>3.1406411728841436E-3</v>
      </c>
      <c r="K112" s="124">
        <f t="shared" si="79"/>
        <v>1.6022232620131298E-3</v>
      </c>
      <c r="L112" s="124">
        <f t="shared" si="79"/>
        <v>9.145433663703263E-4</v>
      </c>
      <c r="M112" s="124">
        <f t="shared" si="79"/>
        <v>4.9626384221645612E-4</v>
      </c>
      <c r="N112" s="128">
        <f t="shared" si="79"/>
        <v>2.9066882186963859E-4</v>
      </c>
      <c r="O112" s="129">
        <f t="shared" si="79"/>
        <v>1.4887915266493683E-4</v>
      </c>
      <c r="P112" s="127">
        <f t="shared" si="79"/>
        <v>2.4813192110822806E-4</v>
      </c>
    </row>
    <row r="113" spans="1:16" ht="12.75" customHeight="1" x14ac:dyDescent="0.2">
      <c r="A113" s="98" t="s">
        <v>35</v>
      </c>
      <c r="B113" s="128">
        <f t="shared" ref="B113:P113" si="80">+B81/$R81</f>
        <v>0.48490581496681739</v>
      </c>
      <c r="C113" s="128">
        <f t="shared" si="80"/>
        <v>0.21352331721995874</v>
      </c>
      <c r="D113" s="128">
        <f t="shared" si="80"/>
        <v>0.13251450576133833</v>
      </c>
      <c r="E113" s="124">
        <f t="shared" si="80"/>
        <v>7.9526579619684637E-2</v>
      </c>
      <c r="F113" s="124">
        <f t="shared" si="80"/>
        <v>4.439247115606635E-2</v>
      </c>
      <c r="G113" s="124">
        <f t="shared" si="80"/>
        <v>2.2680381656077522E-2</v>
      </c>
      <c r="H113" s="124">
        <f t="shared" si="80"/>
        <v>1.0688455722979063E-2</v>
      </c>
      <c r="I113" s="124">
        <f t="shared" si="80"/>
        <v>5.5490588945082938E-3</v>
      </c>
      <c r="J113" s="124">
        <f t="shared" si="80"/>
        <v>2.726114839449712E-3</v>
      </c>
      <c r="K113" s="124">
        <f t="shared" si="80"/>
        <v>1.4449898329323611E-3</v>
      </c>
      <c r="L113" s="124">
        <f t="shared" si="80"/>
        <v>7.5973692246959193E-4</v>
      </c>
      <c r="M113" s="124">
        <f t="shared" si="80"/>
        <v>3.9476526363616047E-4</v>
      </c>
      <c r="N113" s="128">
        <f t="shared" si="80"/>
        <v>2.0110683241842138E-4</v>
      </c>
      <c r="O113" s="129">
        <f t="shared" si="80"/>
        <v>1.7876162881637456E-4</v>
      </c>
      <c r="P113" s="127">
        <f t="shared" si="80"/>
        <v>5.1393968284707688E-4</v>
      </c>
    </row>
    <row r="114" spans="1:16" x14ac:dyDescent="0.2">
      <c r="A114" s="98" t="s">
        <v>542</v>
      </c>
      <c r="B114" s="128">
        <f t="shared" ref="B114:P114" si="81">+B82/$R82</f>
        <v>0.49249759775297508</v>
      </c>
      <c r="C114" s="128">
        <f t="shared" si="81"/>
        <v>0.21491282101822423</v>
      </c>
      <c r="D114" s="128">
        <f t="shared" si="81"/>
        <v>0.13024695920697105</v>
      </c>
      <c r="E114" s="124">
        <f t="shared" si="81"/>
        <v>7.7192204400423778E-2</v>
      </c>
      <c r="F114" s="124">
        <f t="shared" si="81"/>
        <v>4.0793028966582073E-2</v>
      </c>
      <c r="G114" s="124">
        <f t="shared" si="81"/>
        <v>2.1969267663701841E-2</v>
      </c>
      <c r="H114" s="124">
        <f t="shared" si="81"/>
        <v>1.0208523254572482E-2</v>
      </c>
      <c r="I114" s="124">
        <f t="shared" si="81"/>
        <v>5.6339878943175567E-3</v>
      </c>
      <c r="J114" s="124">
        <f t="shared" si="81"/>
        <v>2.8826964298913444E-3</v>
      </c>
      <c r="K114" s="124">
        <f t="shared" si="81"/>
        <v>1.6097108269478733E-3</v>
      </c>
      <c r="L114" s="124">
        <f t="shared" si="81"/>
        <v>9.5268599962221073E-4</v>
      </c>
      <c r="M114" s="124">
        <f t="shared" si="81"/>
        <v>4.1885332742010991E-4</v>
      </c>
      <c r="N114" s="128">
        <f t="shared" si="81"/>
        <v>2.5459712058869426E-4</v>
      </c>
      <c r="O114" s="129">
        <f t="shared" si="81"/>
        <v>1.3140496546513251E-4</v>
      </c>
      <c r="P114" s="127">
        <f t="shared" si="81"/>
        <v>2.9566117229654814E-4</v>
      </c>
    </row>
    <row r="115" spans="1:16" x14ac:dyDescent="0.2">
      <c r="A115" s="98" t="s">
        <v>544</v>
      </c>
      <c r="B115" s="128">
        <f t="shared" ref="B115:P115" si="82">+B83/$R83</f>
        <v>0.48983579885580891</v>
      </c>
      <c r="C115" s="128">
        <f t="shared" si="82"/>
        <v>0.21390360146074469</v>
      </c>
      <c r="D115" s="128">
        <f t="shared" si="82"/>
        <v>0.13136091535285119</v>
      </c>
      <c r="E115" s="124">
        <f t="shared" si="82"/>
        <v>7.7246160239802644E-2</v>
      </c>
      <c r="F115" s="124">
        <f t="shared" si="82"/>
        <v>4.2451787466951975E-2</v>
      </c>
      <c r="G115" s="124">
        <f t="shared" si="82"/>
        <v>2.1301053115577444E-2</v>
      </c>
      <c r="H115" s="124">
        <f t="shared" si="82"/>
        <v>1.1556860283129813E-2</v>
      </c>
      <c r="I115" s="124">
        <f t="shared" si="82"/>
        <v>5.7297976002051408E-3</v>
      </c>
      <c r="J115" s="124">
        <f t="shared" si="82"/>
        <v>2.6615263544162767E-3</v>
      </c>
      <c r="K115" s="124">
        <f t="shared" si="82"/>
        <v>1.6888755272209597E-3</v>
      </c>
      <c r="L115" s="124">
        <f t="shared" si="82"/>
        <v>7.8696294200348389E-4</v>
      </c>
      <c r="M115" s="124">
        <f t="shared" si="82"/>
        <v>5.1285225433934901E-4</v>
      </c>
      <c r="N115" s="128">
        <f t="shared" si="82"/>
        <v>2.9179524815859515E-4</v>
      </c>
      <c r="O115" s="129">
        <f t="shared" si="82"/>
        <v>1.3263420370845233E-4</v>
      </c>
      <c r="P115" s="127">
        <f t="shared" si="82"/>
        <v>5.3937909508103949E-4</v>
      </c>
    </row>
    <row r="116" spans="1:16" x14ac:dyDescent="0.2">
      <c r="A116" s="98" t="str">
        <f>S3</f>
        <v>2016/17</v>
      </c>
      <c r="B116" s="128">
        <f t="shared" ref="B116:P116" si="83">+B84/$R84</f>
        <v>0.48677413392223057</v>
      </c>
      <c r="C116" s="128">
        <f t="shared" si="83"/>
        <v>0.21273263223433958</v>
      </c>
      <c r="D116" s="128">
        <f t="shared" si="83"/>
        <v>0.13018649492659864</v>
      </c>
      <c r="E116" s="124">
        <f t="shared" si="83"/>
        <v>7.8693659950773903E-2</v>
      </c>
      <c r="F116" s="124">
        <f t="shared" si="83"/>
        <v>4.3583582220233286E-2</v>
      </c>
      <c r="G116" s="124">
        <f t="shared" si="83"/>
        <v>2.272572501483593E-2</v>
      </c>
      <c r="H116" s="124">
        <f t="shared" si="83"/>
        <v>1.1888200328822563E-2</v>
      </c>
      <c r="I116" s="124">
        <f t="shared" si="83"/>
        <v>6.1094842933719874E-3</v>
      </c>
      <c r="J116" s="124">
        <f t="shared" si="83"/>
        <v>3.2784971446916558E-3</v>
      </c>
      <c r="K116" s="124">
        <f t="shared" si="83"/>
        <v>1.8970532439610472E-3</v>
      </c>
      <c r="L116" s="124">
        <f t="shared" si="83"/>
        <v>8.6583455750017027E-4</v>
      </c>
      <c r="M116" s="124">
        <f t="shared" si="83"/>
        <v>4.8642390870796081E-4</v>
      </c>
      <c r="N116" s="128">
        <f t="shared" si="83"/>
        <v>1.848410853090251E-4</v>
      </c>
      <c r="O116" s="129">
        <f t="shared" si="83"/>
        <v>1.9456956348318433E-4</v>
      </c>
      <c r="P116" s="127">
        <f t="shared" si="83"/>
        <v>3.9886760514052787E-4</v>
      </c>
    </row>
    <row r="117" spans="1:16" x14ac:dyDescent="0.2">
      <c r="A117" s="98" t="s">
        <v>561</v>
      </c>
      <c r="B117" s="128">
        <f t="shared" ref="B117:P117" si="84">+B85/$R85</f>
        <v>0.48513234963978857</v>
      </c>
      <c r="C117" s="128">
        <f t="shared" si="84"/>
        <v>0.21702483724157637</v>
      </c>
      <c r="D117" s="128">
        <f t="shared" si="84"/>
        <v>0.13123737219126921</v>
      </c>
      <c r="E117" s="124">
        <f t="shared" si="84"/>
        <v>7.6368905487867095E-2</v>
      </c>
      <c r="F117" s="124">
        <f t="shared" si="84"/>
        <v>4.1725341333496604E-2</v>
      </c>
      <c r="G117" s="124">
        <f t="shared" si="84"/>
        <v>2.3143329455703177E-2</v>
      </c>
      <c r="H117" s="124">
        <f t="shared" si="84"/>
        <v>1.1561460437968121E-2</v>
      </c>
      <c r="I117" s="124">
        <f t="shared" si="84"/>
        <v>6.0205310312455356E-3</v>
      </c>
      <c r="J117" s="124">
        <f t="shared" si="84"/>
        <v>3.1735341537582401E-3</v>
      </c>
      <c r="K117" s="124">
        <f t="shared" si="84"/>
        <v>1.9388150778587318E-3</v>
      </c>
      <c r="L117" s="124">
        <f t="shared" si="84"/>
        <v>1.1632890467152392E-3</v>
      </c>
      <c r="M117" s="124">
        <f t="shared" si="84"/>
        <v>5.7144023347415255E-4</v>
      </c>
      <c r="N117" s="128">
        <f t="shared" si="84"/>
        <v>3.5715014592134535E-4</v>
      </c>
      <c r="O117" s="129">
        <f t="shared" si="84"/>
        <v>2.4490295720320821E-4</v>
      </c>
      <c r="P117" s="127">
        <f t="shared" si="84"/>
        <v>3.3674156615441132E-4</v>
      </c>
    </row>
    <row r="118" spans="1:16" x14ac:dyDescent="0.2">
      <c r="A118" s="98" t="s">
        <v>586</v>
      </c>
      <c r="B118" s="128">
        <f>+B86/$R86</f>
        <v>0.48945205335463593</v>
      </c>
      <c r="C118" s="128">
        <f t="shared" ref="C118:P118" si="85">+C86/$R86</f>
        <v>0.21954654866140408</v>
      </c>
      <c r="D118" s="128">
        <f t="shared" si="85"/>
        <v>0.12895088136056423</v>
      </c>
      <c r="E118" s="124">
        <f t="shared" si="85"/>
        <v>7.5238866056318784E-2</v>
      </c>
      <c r="F118" s="124">
        <f t="shared" si="85"/>
        <v>4.2706833303551718E-2</v>
      </c>
      <c r="G118" s="124">
        <f t="shared" si="85"/>
        <v>2.1978830528606115E-2</v>
      </c>
      <c r="H118" s="124">
        <f t="shared" si="85"/>
        <v>9.9645773989089411E-3</v>
      </c>
      <c r="I118" s="124">
        <f t="shared" si="85"/>
        <v>5.6234693126754045E-3</v>
      </c>
      <c r="J118" s="124">
        <f t="shared" si="85"/>
        <v>2.995679914228954E-3</v>
      </c>
      <c r="K118" s="124">
        <f t="shared" si="85"/>
        <v>1.440028590348655E-3</v>
      </c>
      <c r="L118" s="124">
        <f t="shared" si="85"/>
        <v>8.7242608028422169E-4</v>
      </c>
      <c r="M118" s="124">
        <f t="shared" si="85"/>
        <v>4.8351324931414694E-4</v>
      </c>
      <c r="N118" s="128">
        <f t="shared" si="85"/>
        <v>3.573793581887173E-4</v>
      </c>
      <c r="O118" s="129">
        <f t="shared" si="85"/>
        <v>1.4715620631300125E-4</v>
      </c>
      <c r="P118" s="127">
        <f t="shared" si="85"/>
        <v>2.4175662465707347E-4</v>
      </c>
    </row>
    <row r="119" spans="1:16" x14ac:dyDescent="0.2">
      <c r="A119" s="98" t="s">
        <v>590</v>
      </c>
      <c r="B119" s="128">
        <f t="shared" ref="B119:P119" si="86">+B87/$R87</f>
        <v>0.48365893179247305</v>
      </c>
      <c r="C119" s="128">
        <f t="shared" si="86"/>
        <v>0.22026557420485698</v>
      </c>
      <c r="D119" s="128">
        <f t="shared" si="86"/>
        <v>0.13342912755918351</v>
      </c>
      <c r="E119" s="124">
        <f t="shared" si="86"/>
        <v>7.5789538047632152E-2</v>
      </c>
      <c r="F119" s="124">
        <f t="shared" si="86"/>
        <v>4.1680679119916027E-2</v>
      </c>
      <c r="G119" s="124">
        <f t="shared" si="86"/>
        <v>2.176770919318842E-2</v>
      </c>
      <c r="H119" s="124">
        <f t="shared" si="86"/>
        <v>1.1220153474578862E-2</v>
      </c>
      <c r="I119" s="124">
        <f t="shared" si="86"/>
        <v>5.5540269242919885E-3</v>
      </c>
      <c r="J119" s="124">
        <f t="shared" si="86"/>
        <v>2.8432541502338804E-3</v>
      </c>
      <c r="K119" s="124">
        <f t="shared" si="86"/>
        <v>1.5286312635666025E-3</v>
      </c>
      <c r="L119" s="124">
        <f t="shared" si="86"/>
        <v>9.4775138341129353E-4</v>
      </c>
      <c r="M119" s="124">
        <f t="shared" si="86"/>
        <v>5.5030725488397687E-4</v>
      </c>
      <c r="N119" s="128">
        <f t="shared" si="86"/>
        <v>3.3629887798465255E-4</v>
      </c>
      <c r="O119" s="129">
        <f t="shared" si="86"/>
        <v>1.6305400144710425E-4</v>
      </c>
      <c r="P119" s="127">
        <f t="shared" si="86"/>
        <v>2.6496275235154444E-4</v>
      </c>
    </row>
    <row r="120" spans="1:16" x14ac:dyDescent="0.2">
      <c r="A120" s="98" t="s">
        <v>593</v>
      </c>
      <c r="B120" s="657">
        <f t="shared" ref="B120:P120" si="87">+B88/$R88</f>
        <v>0.48809523809523808</v>
      </c>
      <c r="C120" s="128">
        <f t="shared" si="87"/>
        <v>0.22238742565845371</v>
      </c>
      <c r="D120" s="128">
        <f t="shared" si="87"/>
        <v>0.13046688513978233</v>
      </c>
      <c r="E120" s="124">
        <f t="shared" si="87"/>
        <v>7.5433911882510016E-2</v>
      </c>
      <c r="F120" s="124">
        <f t="shared" si="87"/>
        <v>3.9608366711170448E-2</v>
      </c>
      <c r="G120" s="124">
        <f t="shared" si="87"/>
        <v>2.1230327305093659E-2</v>
      </c>
      <c r="H120" s="124">
        <f t="shared" si="87"/>
        <v>1.0832625318606627E-2</v>
      </c>
      <c r="I120" s="124">
        <f t="shared" si="87"/>
        <v>5.7753772707043738E-3</v>
      </c>
      <c r="J120" s="124">
        <f t="shared" si="87"/>
        <v>2.8522878990168712E-3</v>
      </c>
      <c r="K120" s="124">
        <f t="shared" si="87"/>
        <v>1.3452279807419994E-3</v>
      </c>
      <c r="L120" s="124">
        <f t="shared" si="87"/>
        <v>7.6870170328114252E-4</v>
      </c>
      <c r="M120" s="124">
        <f t="shared" si="87"/>
        <v>3.8435085164057126E-4</v>
      </c>
      <c r="N120" s="128">
        <f t="shared" si="87"/>
        <v>3.5400736335315777E-4</v>
      </c>
      <c r="O120" s="129">
        <f t="shared" si="87"/>
        <v>1.2137395314965408E-4</v>
      </c>
      <c r="P120" s="127">
        <f t="shared" si="87"/>
        <v>3.4389286725735322E-4</v>
      </c>
    </row>
    <row r="121" spans="1:16" x14ac:dyDescent="0.2">
      <c r="A121" s="98" t="s">
        <v>596</v>
      </c>
      <c r="B121" s="657">
        <f t="shared" ref="B121:P121" si="88">+B89/$R89</f>
        <v>0.45718333251917348</v>
      </c>
      <c r="C121" s="128">
        <f t="shared" si="88"/>
        <v>0.22690635533193299</v>
      </c>
      <c r="D121" s="128">
        <f t="shared" si="88"/>
        <v>0.13924087733867421</v>
      </c>
      <c r="E121" s="124">
        <f t="shared" si="88"/>
        <v>8.22431732695032E-2</v>
      </c>
      <c r="F121" s="124">
        <f t="shared" si="88"/>
        <v>4.6553661276928338E-2</v>
      </c>
      <c r="G121" s="124">
        <f t="shared" si="88"/>
        <v>2.3350105026623026E-2</v>
      </c>
      <c r="H121" s="124">
        <f t="shared" si="88"/>
        <v>1.1626202921205609E-2</v>
      </c>
      <c r="I121" s="124">
        <f t="shared" si="88"/>
        <v>5.8424112158663478E-3</v>
      </c>
      <c r="J121" s="124">
        <f t="shared" si="88"/>
        <v>3.0970641395144352E-3</v>
      </c>
      <c r="K121" s="124">
        <f t="shared" si="88"/>
        <v>1.758585315812613E-3</v>
      </c>
      <c r="L121" s="124">
        <f t="shared" si="88"/>
        <v>8.9883249474866881E-4</v>
      </c>
      <c r="M121" s="124">
        <f t="shared" si="88"/>
        <v>6.2527477895559576E-4</v>
      </c>
      <c r="N121" s="128">
        <f t="shared" si="88"/>
        <v>2.344780421083484E-4</v>
      </c>
      <c r="O121" s="129">
        <f t="shared" si="88"/>
        <v>1.8562845000244247E-4</v>
      </c>
      <c r="P121" s="127">
        <f t="shared" si="88"/>
        <v>1.4654877631771775E-4</v>
      </c>
    </row>
    <row r="122" spans="1:16" x14ac:dyDescent="0.2">
      <c r="A122" s="98" t="s">
        <v>603</v>
      </c>
      <c r="B122" s="657">
        <f t="shared" ref="B122:P122" si="89">+B90/$R90</f>
        <v>0.44423710644380038</v>
      </c>
      <c r="C122" s="128">
        <f t="shared" si="89"/>
        <v>0.22797474887838964</v>
      </c>
      <c r="D122" s="128">
        <f t="shared" si="89"/>
        <v>0.14006233374359789</v>
      </c>
      <c r="E122" s="124">
        <f t="shared" si="89"/>
        <v>8.6840433556993682E-2</v>
      </c>
      <c r="F122" s="124">
        <f t="shared" si="89"/>
        <v>4.8795013300512169E-2</v>
      </c>
      <c r="G122" s="124">
        <f t="shared" si="89"/>
        <v>2.5777186643903601E-2</v>
      </c>
      <c r="H122" s="124">
        <f t="shared" si="89"/>
        <v>1.326080914757613E-2</v>
      </c>
      <c r="I122" s="124">
        <f t="shared" si="89"/>
        <v>6.8289196807877076E-3</v>
      </c>
      <c r="J122" s="124">
        <f t="shared" si="89"/>
        <v>3.6030491920435144E-3</v>
      </c>
      <c r="K122" s="124">
        <f t="shared" si="89"/>
        <v>1.9851510699964267E-3</v>
      </c>
      <c r="L122" s="124">
        <f t="shared" si="89"/>
        <v>9.5287251359828479E-4</v>
      </c>
      <c r="M122" s="124">
        <f t="shared" si="89"/>
        <v>5.6576805494898158E-4</v>
      </c>
      <c r="N122" s="128">
        <f t="shared" si="89"/>
        <v>4.4665899074919601E-4</v>
      </c>
      <c r="O122" s="129">
        <f t="shared" si="89"/>
        <v>2.1836661769960693E-4</v>
      </c>
      <c r="P122" s="127">
        <f t="shared" si="89"/>
        <v>4.4665899074919601E-4</v>
      </c>
    </row>
    <row r="123" spans="1:16" x14ac:dyDescent="0.2">
      <c r="A123" s="106" t="s">
        <v>606</v>
      </c>
      <c r="B123" s="657">
        <f t="shared" ref="B123:P123" si="90">+B91/$R91</f>
        <v>0.43212933572985585</v>
      </c>
      <c r="C123" s="128">
        <f t="shared" si="90"/>
        <v>0.22521893762667788</v>
      </c>
      <c r="D123" s="128">
        <f t="shared" si="90"/>
        <v>0.14341848636659146</v>
      </c>
      <c r="E123" s="124">
        <f t="shared" si="90"/>
        <v>8.8301655895062905E-2</v>
      </c>
      <c r="F123" s="124">
        <f t="shared" si="90"/>
        <v>5.0441699491376342E-2</v>
      </c>
      <c r="G123" s="124">
        <f t="shared" si="90"/>
        <v>2.8911239435542468E-2</v>
      </c>
      <c r="H123" s="124">
        <f t="shared" si="90"/>
        <v>1.451298328807985E-2</v>
      </c>
      <c r="I123" s="124">
        <f t="shared" si="90"/>
        <v>8.4324448353665527E-3</v>
      </c>
      <c r="J123" s="124">
        <f t="shared" si="90"/>
        <v>4.2162224176832764E-3</v>
      </c>
      <c r="K123" s="124">
        <f t="shared" si="90"/>
        <v>2.3805881678075642E-3</v>
      </c>
      <c r="L123" s="124">
        <f t="shared" si="90"/>
        <v>1.3384833072010401E-3</v>
      </c>
      <c r="M123" s="124">
        <f t="shared" si="90"/>
        <v>8.1265057937206014E-4</v>
      </c>
      <c r="N123" s="128">
        <f t="shared" si="90"/>
        <v>4.7802975257180006E-4</v>
      </c>
      <c r="O123" s="129">
        <f t="shared" si="90"/>
        <v>1.6253011587441201E-4</v>
      </c>
      <c r="P123" s="127">
        <f t="shared" si="90"/>
        <v>4.3022677731462008E-4</v>
      </c>
    </row>
    <row r="124" spans="1:16" x14ac:dyDescent="0.2">
      <c r="A124" s="106" t="s">
        <v>611</v>
      </c>
      <c r="B124" s="657">
        <f t="shared" ref="B124:P125" si="91">+B92/$R92</f>
        <v>0.42542467799141309</v>
      </c>
      <c r="C124" s="128">
        <f t="shared" si="91"/>
        <v>0.22386596975919357</v>
      </c>
      <c r="D124" s="128">
        <f t="shared" si="91"/>
        <v>0.14582788874369984</v>
      </c>
      <c r="E124" s="124">
        <f t="shared" si="91"/>
        <v>9.0031734179578118E-2</v>
      </c>
      <c r="F124" s="124">
        <f t="shared" si="91"/>
        <v>5.2744073175284671E-2</v>
      </c>
      <c r="G124" s="124">
        <f t="shared" si="91"/>
        <v>2.8476759380250141E-2</v>
      </c>
      <c r="H124" s="124">
        <f t="shared" si="91"/>
        <v>1.5764420384543589E-2</v>
      </c>
      <c r="I124" s="124">
        <f t="shared" si="91"/>
        <v>9.2122456598842644E-3</v>
      </c>
      <c r="J124" s="124">
        <f t="shared" si="91"/>
        <v>4.1534440918424495E-3</v>
      </c>
      <c r="K124" s="124">
        <f t="shared" si="91"/>
        <v>2.4453985439611722E-3</v>
      </c>
      <c r="L124" s="124">
        <f t="shared" si="91"/>
        <v>1.5027067388463692E-3</v>
      </c>
      <c r="M124" s="124">
        <f t="shared" si="91"/>
        <v>7.3735299607989547E-4</v>
      </c>
      <c r="N124" s="128">
        <f t="shared" si="91"/>
        <v>3.3600896023893969E-4</v>
      </c>
      <c r="O124" s="129">
        <f t="shared" si="91"/>
        <v>2.9867463132350196E-4</v>
      </c>
      <c r="P124" s="127">
        <f t="shared" si="91"/>
        <v>6.0668284487586338E-4</v>
      </c>
    </row>
    <row r="125" spans="1:16" ht="13.5" thickBot="1" x14ac:dyDescent="0.25">
      <c r="A125" s="672" t="s">
        <v>618</v>
      </c>
      <c r="B125" s="650">
        <f t="shared" si="91"/>
        <v>0.41462144274720042</v>
      </c>
      <c r="C125" s="130">
        <f t="shared" si="91"/>
        <v>0.22373088355469348</v>
      </c>
      <c r="D125" s="130">
        <f t="shared" si="91"/>
        <v>0.15071347108848118</v>
      </c>
      <c r="E125" s="131">
        <f t="shared" si="91"/>
        <v>9.1543414423879949E-2</v>
      </c>
      <c r="F125" s="131">
        <f t="shared" si="91"/>
        <v>5.1590829494329048E-2</v>
      </c>
      <c r="G125" s="131">
        <f t="shared" si="91"/>
        <v>3.0694074014206561E-2</v>
      </c>
      <c r="H125" s="131">
        <f t="shared" si="91"/>
        <v>1.5939725387716982E-2</v>
      </c>
      <c r="I125" s="131">
        <f t="shared" si="91"/>
        <v>9.0609481218064426E-3</v>
      </c>
      <c r="J125" s="131">
        <f t="shared" si="91"/>
        <v>5.181533266880394E-3</v>
      </c>
      <c r="K125" s="131">
        <f t="shared" si="91"/>
        <v>2.6401573318246721E-3</v>
      </c>
      <c r="L125" s="131">
        <f t="shared" si="91"/>
        <v>1.7331645069461282E-3</v>
      </c>
      <c r="M125" s="131">
        <f t="shared" si="91"/>
        <v>9.5189345977352122E-4</v>
      </c>
      <c r="N125" s="130">
        <f t="shared" si="91"/>
        <v>6.2860888852968376E-4</v>
      </c>
      <c r="O125" s="132">
        <f t="shared" si="91"/>
        <v>4.2206596801278772E-4</v>
      </c>
      <c r="P125" s="133">
        <f t="shared" si="91"/>
        <v>6.824896504036567E-4</v>
      </c>
    </row>
    <row r="126" spans="1:16" ht="13.5" thickTop="1" x14ac:dyDescent="0.2"/>
  </sheetData>
  <mergeCells count="4">
    <mergeCell ref="A12:L12"/>
    <mergeCell ref="A26:K26"/>
    <mergeCell ref="A40:F40"/>
    <mergeCell ref="R65:R6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609"/>
  <sheetViews>
    <sheetView workbookViewId="0">
      <pane ySplit="3" topLeftCell="A4" activePane="bottomLeft" state="frozen"/>
      <selection pane="bottomLeft" activeCell="A2" sqref="A2"/>
    </sheetView>
  </sheetViews>
  <sheetFormatPr defaultRowHeight="12.75" x14ac:dyDescent="0.2"/>
  <cols>
    <col min="1" max="2" width="2.28515625" style="6" customWidth="1"/>
    <col min="3" max="3" width="24" style="6" customWidth="1"/>
    <col min="4" max="4" width="8.7109375" style="234" customWidth="1"/>
    <col min="5" max="5" width="10.5703125" style="234" customWidth="1"/>
    <col min="6" max="6" width="7.5703125" style="234" customWidth="1"/>
    <col min="7" max="7" width="15" style="234" customWidth="1"/>
    <col min="8" max="8" width="19.7109375" style="234" customWidth="1"/>
    <col min="9" max="9" width="20.7109375" style="235" customWidth="1"/>
    <col min="10" max="10" width="16.7109375" style="235" customWidth="1"/>
    <col min="11" max="11" width="7.42578125" style="234" customWidth="1"/>
    <col min="12" max="12" width="8.85546875" style="234" customWidth="1"/>
    <col min="13" max="13" width="14.7109375" style="134" customWidth="1"/>
    <col min="14" max="14" width="9.85546875" style="134" customWidth="1"/>
    <col min="15" max="15" width="14.85546875" style="6" customWidth="1"/>
    <col min="16" max="16" width="11" style="6" customWidth="1"/>
    <col min="17" max="17" width="7.5703125" style="6" customWidth="1"/>
    <col min="18" max="18" width="7.42578125" style="6" customWidth="1"/>
    <col min="19" max="21" width="9.140625" style="6"/>
    <col min="22" max="22" width="10.140625" style="6" bestFit="1" customWidth="1"/>
    <col min="23" max="256" width="9.140625" style="6"/>
    <col min="257" max="258" width="2.28515625" style="6" customWidth="1"/>
    <col min="259" max="259" width="24" style="6" customWidth="1"/>
    <col min="260" max="260" width="8.7109375" style="6" customWidth="1"/>
    <col min="261" max="261" width="10.5703125" style="6" customWidth="1"/>
    <col min="262" max="262" width="7.5703125" style="6" customWidth="1"/>
    <col min="263" max="263" width="15" style="6" customWidth="1"/>
    <col min="264" max="264" width="19.7109375" style="6" customWidth="1"/>
    <col min="265" max="265" width="20.7109375" style="6" customWidth="1"/>
    <col min="266" max="266" width="16.7109375" style="6" customWidth="1"/>
    <col min="267" max="267" width="7.42578125" style="6" customWidth="1"/>
    <col min="268" max="268" width="8.85546875" style="6" customWidth="1"/>
    <col min="269" max="269" width="14.7109375" style="6" customWidth="1"/>
    <col min="270" max="270" width="9.85546875" style="6" customWidth="1"/>
    <col min="271" max="271" width="7.85546875" style="6" customWidth="1"/>
    <col min="272" max="272" width="7.7109375" style="6" customWidth="1"/>
    <col min="273" max="273" width="7.5703125" style="6" customWidth="1"/>
    <col min="274" max="274" width="7.42578125" style="6" customWidth="1"/>
    <col min="275" max="277" width="9.140625" style="6"/>
    <col min="278" max="278" width="10.140625" style="6" bestFit="1" customWidth="1"/>
    <col min="279" max="512" width="9.140625" style="6"/>
    <col min="513" max="514" width="2.28515625" style="6" customWidth="1"/>
    <col min="515" max="515" width="24" style="6" customWidth="1"/>
    <col min="516" max="516" width="8.7109375" style="6" customWidth="1"/>
    <col min="517" max="517" width="10.5703125" style="6" customWidth="1"/>
    <col min="518" max="518" width="7.5703125" style="6" customWidth="1"/>
    <col min="519" max="519" width="15" style="6" customWidth="1"/>
    <col min="520" max="520" width="19.7109375" style="6" customWidth="1"/>
    <col min="521" max="521" width="20.7109375" style="6" customWidth="1"/>
    <col min="522" max="522" width="16.7109375" style="6" customWidth="1"/>
    <col min="523" max="523" width="7.42578125" style="6" customWidth="1"/>
    <col min="524" max="524" width="8.85546875" style="6" customWidth="1"/>
    <col min="525" max="525" width="14.7109375" style="6" customWidth="1"/>
    <col min="526" max="526" width="9.85546875" style="6" customWidth="1"/>
    <col min="527" max="527" width="7.85546875" style="6" customWidth="1"/>
    <col min="528" max="528" width="7.7109375" style="6" customWidth="1"/>
    <col min="529" max="529" width="7.5703125" style="6" customWidth="1"/>
    <col min="530" max="530" width="7.42578125" style="6" customWidth="1"/>
    <col min="531" max="533" width="9.140625" style="6"/>
    <col min="534" max="534" width="10.140625" style="6" bestFit="1" customWidth="1"/>
    <col min="535" max="768" width="9.140625" style="6"/>
    <col min="769" max="770" width="2.28515625" style="6" customWidth="1"/>
    <col min="771" max="771" width="24" style="6" customWidth="1"/>
    <col min="772" max="772" width="8.7109375" style="6" customWidth="1"/>
    <col min="773" max="773" width="10.5703125" style="6" customWidth="1"/>
    <col min="774" max="774" width="7.5703125" style="6" customWidth="1"/>
    <col min="775" max="775" width="15" style="6" customWidth="1"/>
    <col min="776" max="776" width="19.7109375" style="6" customWidth="1"/>
    <col min="777" max="777" width="20.7109375" style="6" customWidth="1"/>
    <col min="778" max="778" width="16.7109375" style="6" customWidth="1"/>
    <col min="779" max="779" width="7.42578125" style="6" customWidth="1"/>
    <col min="780" max="780" width="8.85546875" style="6" customWidth="1"/>
    <col min="781" max="781" width="14.7109375" style="6" customWidth="1"/>
    <col min="782" max="782" width="9.85546875" style="6" customWidth="1"/>
    <col min="783" max="783" width="7.85546875" style="6" customWidth="1"/>
    <col min="784" max="784" width="7.7109375" style="6" customWidth="1"/>
    <col min="785" max="785" width="7.5703125" style="6" customWidth="1"/>
    <col min="786" max="786" width="7.42578125" style="6" customWidth="1"/>
    <col min="787" max="789" width="9.140625" style="6"/>
    <col min="790" max="790" width="10.140625" style="6" bestFit="1" customWidth="1"/>
    <col min="791" max="1024" width="9.140625" style="6"/>
    <col min="1025" max="1026" width="2.28515625" style="6" customWidth="1"/>
    <col min="1027" max="1027" width="24" style="6" customWidth="1"/>
    <col min="1028" max="1028" width="8.7109375" style="6" customWidth="1"/>
    <col min="1029" max="1029" width="10.5703125" style="6" customWidth="1"/>
    <col min="1030" max="1030" width="7.5703125" style="6" customWidth="1"/>
    <col min="1031" max="1031" width="15" style="6" customWidth="1"/>
    <col min="1032" max="1032" width="19.7109375" style="6" customWidth="1"/>
    <col min="1033" max="1033" width="20.7109375" style="6" customWidth="1"/>
    <col min="1034" max="1034" width="16.7109375" style="6" customWidth="1"/>
    <col min="1035" max="1035" width="7.42578125" style="6" customWidth="1"/>
    <col min="1036" max="1036" width="8.85546875" style="6" customWidth="1"/>
    <col min="1037" max="1037" width="14.7109375" style="6" customWidth="1"/>
    <col min="1038" max="1038" width="9.85546875" style="6" customWidth="1"/>
    <col min="1039" max="1039" width="7.85546875" style="6" customWidth="1"/>
    <col min="1040" max="1040" width="7.7109375" style="6" customWidth="1"/>
    <col min="1041" max="1041" width="7.5703125" style="6" customWidth="1"/>
    <col min="1042" max="1042" width="7.42578125" style="6" customWidth="1"/>
    <col min="1043" max="1045" width="9.140625" style="6"/>
    <col min="1046" max="1046" width="10.140625" style="6" bestFit="1" customWidth="1"/>
    <col min="1047" max="1280" width="9.140625" style="6"/>
    <col min="1281" max="1282" width="2.28515625" style="6" customWidth="1"/>
    <col min="1283" max="1283" width="24" style="6" customWidth="1"/>
    <col min="1284" max="1284" width="8.7109375" style="6" customWidth="1"/>
    <col min="1285" max="1285" width="10.5703125" style="6" customWidth="1"/>
    <col min="1286" max="1286" width="7.5703125" style="6" customWidth="1"/>
    <col min="1287" max="1287" width="15" style="6" customWidth="1"/>
    <col min="1288" max="1288" width="19.7109375" style="6" customWidth="1"/>
    <col min="1289" max="1289" width="20.7109375" style="6" customWidth="1"/>
    <col min="1290" max="1290" width="16.7109375" style="6" customWidth="1"/>
    <col min="1291" max="1291" width="7.42578125" style="6" customWidth="1"/>
    <col min="1292" max="1292" width="8.85546875" style="6" customWidth="1"/>
    <col min="1293" max="1293" width="14.7109375" style="6" customWidth="1"/>
    <col min="1294" max="1294" width="9.85546875" style="6" customWidth="1"/>
    <col min="1295" max="1295" width="7.85546875" style="6" customWidth="1"/>
    <col min="1296" max="1296" width="7.7109375" style="6" customWidth="1"/>
    <col min="1297" max="1297" width="7.5703125" style="6" customWidth="1"/>
    <col min="1298" max="1298" width="7.42578125" style="6" customWidth="1"/>
    <col min="1299" max="1301" width="9.140625" style="6"/>
    <col min="1302" max="1302" width="10.140625" style="6" bestFit="1" customWidth="1"/>
    <col min="1303" max="1536" width="9.140625" style="6"/>
    <col min="1537" max="1538" width="2.28515625" style="6" customWidth="1"/>
    <col min="1539" max="1539" width="24" style="6" customWidth="1"/>
    <col min="1540" max="1540" width="8.7109375" style="6" customWidth="1"/>
    <col min="1541" max="1541" width="10.5703125" style="6" customWidth="1"/>
    <col min="1542" max="1542" width="7.5703125" style="6" customWidth="1"/>
    <col min="1543" max="1543" width="15" style="6" customWidth="1"/>
    <col min="1544" max="1544" width="19.7109375" style="6" customWidth="1"/>
    <col min="1545" max="1545" width="20.7109375" style="6" customWidth="1"/>
    <col min="1546" max="1546" width="16.7109375" style="6" customWidth="1"/>
    <col min="1547" max="1547" width="7.42578125" style="6" customWidth="1"/>
    <col min="1548" max="1548" width="8.85546875" style="6" customWidth="1"/>
    <col min="1549" max="1549" width="14.7109375" style="6" customWidth="1"/>
    <col min="1550" max="1550" width="9.85546875" style="6" customWidth="1"/>
    <col min="1551" max="1551" width="7.85546875" style="6" customWidth="1"/>
    <col min="1552" max="1552" width="7.7109375" style="6" customWidth="1"/>
    <col min="1553" max="1553" width="7.5703125" style="6" customWidth="1"/>
    <col min="1554" max="1554" width="7.42578125" style="6" customWidth="1"/>
    <col min="1555" max="1557" width="9.140625" style="6"/>
    <col min="1558" max="1558" width="10.140625" style="6" bestFit="1" customWidth="1"/>
    <col min="1559" max="1792" width="9.140625" style="6"/>
    <col min="1793" max="1794" width="2.28515625" style="6" customWidth="1"/>
    <col min="1795" max="1795" width="24" style="6" customWidth="1"/>
    <col min="1796" max="1796" width="8.7109375" style="6" customWidth="1"/>
    <col min="1797" max="1797" width="10.5703125" style="6" customWidth="1"/>
    <col min="1798" max="1798" width="7.5703125" style="6" customWidth="1"/>
    <col min="1799" max="1799" width="15" style="6" customWidth="1"/>
    <col min="1800" max="1800" width="19.7109375" style="6" customWidth="1"/>
    <col min="1801" max="1801" width="20.7109375" style="6" customWidth="1"/>
    <col min="1802" max="1802" width="16.7109375" style="6" customWidth="1"/>
    <col min="1803" max="1803" width="7.42578125" style="6" customWidth="1"/>
    <col min="1804" max="1804" width="8.85546875" style="6" customWidth="1"/>
    <col min="1805" max="1805" width="14.7109375" style="6" customWidth="1"/>
    <col min="1806" max="1806" width="9.85546875" style="6" customWidth="1"/>
    <col min="1807" max="1807" width="7.85546875" style="6" customWidth="1"/>
    <col min="1808" max="1808" width="7.7109375" style="6" customWidth="1"/>
    <col min="1809" max="1809" width="7.5703125" style="6" customWidth="1"/>
    <col min="1810" max="1810" width="7.42578125" style="6" customWidth="1"/>
    <col min="1811" max="1813" width="9.140625" style="6"/>
    <col min="1814" max="1814" width="10.140625" style="6" bestFit="1" customWidth="1"/>
    <col min="1815" max="2048" width="9.140625" style="6"/>
    <col min="2049" max="2050" width="2.28515625" style="6" customWidth="1"/>
    <col min="2051" max="2051" width="24" style="6" customWidth="1"/>
    <col min="2052" max="2052" width="8.7109375" style="6" customWidth="1"/>
    <col min="2053" max="2053" width="10.5703125" style="6" customWidth="1"/>
    <col min="2054" max="2054" width="7.5703125" style="6" customWidth="1"/>
    <col min="2055" max="2055" width="15" style="6" customWidth="1"/>
    <col min="2056" max="2056" width="19.7109375" style="6" customWidth="1"/>
    <col min="2057" max="2057" width="20.7109375" style="6" customWidth="1"/>
    <col min="2058" max="2058" width="16.7109375" style="6" customWidth="1"/>
    <col min="2059" max="2059" width="7.42578125" style="6" customWidth="1"/>
    <col min="2060" max="2060" width="8.85546875" style="6" customWidth="1"/>
    <col min="2061" max="2061" width="14.7109375" style="6" customWidth="1"/>
    <col min="2062" max="2062" width="9.85546875" style="6" customWidth="1"/>
    <col min="2063" max="2063" width="7.85546875" style="6" customWidth="1"/>
    <col min="2064" max="2064" width="7.7109375" style="6" customWidth="1"/>
    <col min="2065" max="2065" width="7.5703125" style="6" customWidth="1"/>
    <col min="2066" max="2066" width="7.42578125" style="6" customWidth="1"/>
    <col min="2067" max="2069" width="9.140625" style="6"/>
    <col min="2070" max="2070" width="10.140625" style="6" bestFit="1" customWidth="1"/>
    <col min="2071" max="2304" width="9.140625" style="6"/>
    <col min="2305" max="2306" width="2.28515625" style="6" customWidth="1"/>
    <col min="2307" max="2307" width="24" style="6" customWidth="1"/>
    <col min="2308" max="2308" width="8.7109375" style="6" customWidth="1"/>
    <col min="2309" max="2309" width="10.5703125" style="6" customWidth="1"/>
    <col min="2310" max="2310" width="7.5703125" style="6" customWidth="1"/>
    <col min="2311" max="2311" width="15" style="6" customWidth="1"/>
    <col min="2312" max="2312" width="19.7109375" style="6" customWidth="1"/>
    <col min="2313" max="2313" width="20.7109375" style="6" customWidth="1"/>
    <col min="2314" max="2314" width="16.7109375" style="6" customWidth="1"/>
    <col min="2315" max="2315" width="7.42578125" style="6" customWidth="1"/>
    <col min="2316" max="2316" width="8.85546875" style="6" customWidth="1"/>
    <col min="2317" max="2317" width="14.7109375" style="6" customWidth="1"/>
    <col min="2318" max="2318" width="9.85546875" style="6" customWidth="1"/>
    <col min="2319" max="2319" width="7.85546875" style="6" customWidth="1"/>
    <col min="2320" max="2320" width="7.7109375" style="6" customWidth="1"/>
    <col min="2321" max="2321" width="7.5703125" style="6" customWidth="1"/>
    <col min="2322" max="2322" width="7.42578125" style="6" customWidth="1"/>
    <col min="2323" max="2325" width="9.140625" style="6"/>
    <col min="2326" max="2326" width="10.140625" style="6" bestFit="1" customWidth="1"/>
    <col min="2327" max="2560" width="9.140625" style="6"/>
    <col min="2561" max="2562" width="2.28515625" style="6" customWidth="1"/>
    <col min="2563" max="2563" width="24" style="6" customWidth="1"/>
    <col min="2564" max="2564" width="8.7109375" style="6" customWidth="1"/>
    <col min="2565" max="2565" width="10.5703125" style="6" customWidth="1"/>
    <col min="2566" max="2566" width="7.5703125" style="6" customWidth="1"/>
    <col min="2567" max="2567" width="15" style="6" customWidth="1"/>
    <col min="2568" max="2568" width="19.7109375" style="6" customWidth="1"/>
    <col min="2569" max="2569" width="20.7109375" style="6" customWidth="1"/>
    <col min="2570" max="2570" width="16.7109375" style="6" customWidth="1"/>
    <col min="2571" max="2571" width="7.42578125" style="6" customWidth="1"/>
    <col min="2572" max="2572" width="8.85546875" style="6" customWidth="1"/>
    <col min="2573" max="2573" width="14.7109375" style="6" customWidth="1"/>
    <col min="2574" max="2574" width="9.85546875" style="6" customWidth="1"/>
    <col min="2575" max="2575" width="7.85546875" style="6" customWidth="1"/>
    <col min="2576" max="2576" width="7.7109375" style="6" customWidth="1"/>
    <col min="2577" max="2577" width="7.5703125" style="6" customWidth="1"/>
    <col min="2578" max="2578" width="7.42578125" style="6" customWidth="1"/>
    <col min="2579" max="2581" width="9.140625" style="6"/>
    <col min="2582" max="2582" width="10.140625" style="6" bestFit="1" customWidth="1"/>
    <col min="2583" max="2816" width="9.140625" style="6"/>
    <col min="2817" max="2818" width="2.28515625" style="6" customWidth="1"/>
    <col min="2819" max="2819" width="24" style="6" customWidth="1"/>
    <col min="2820" max="2820" width="8.7109375" style="6" customWidth="1"/>
    <col min="2821" max="2821" width="10.5703125" style="6" customWidth="1"/>
    <col min="2822" max="2822" width="7.5703125" style="6" customWidth="1"/>
    <col min="2823" max="2823" width="15" style="6" customWidth="1"/>
    <col min="2824" max="2824" width="19.7109375" style="6" customWidth="1"/>
    <col min="2825" max="2825" width="20.7109375" style="6" customWidth="1"/>
    <col min="2826" max="2826" width="16.7109375" style="6" customWidth="1"/>
    <col min="2827" max="2827" width="7.42578125" style="6" customWidth="1"/>
    <col min="2828" max="2828" width="8.85546875" style="6" customWidth="1"/>
    <col min="2829" max="2829" width="14.7109375" style="6" customWidth="1"/>
    <col min="2830" max="2830" width="9.85546875" style="6" customWidth="1"/>
    <col min="2831" max="2831" width="7.85546875" style="6" customWidth="1"/>
    <col min="2832" max="2832" width="7.7109375" style="6" customWidth="1"/>
    <col min="2833" max="2833" width="7.5703125" style="6" customWidth="1"/>
    <col min="2834" max="2834" width="7.42578125" style="6" customWidth="1"/>
    <col min="2835" max="2837" width="9.140625" style="6"/>
    <col min="2838" max="2838" width="10.140625" style="6" bestFit="1" customWidth="1"/>
    <col min="2839" max="3072" width="9.140625" style="6"/>
    <col min="3073" max="3074" width="2.28515625" style="6" customWidth="1"/>
    <col min="3075" max="3075" width="24" style="6" customWidth="1"/>
    <col min="3076" max="3076" width="8.7109375" style="6" customWidth="1"/>
    <col min="3077" max="3077" width="10.5703125" style="6" customWidth="1"/>
    <col min="3078" max="3078" width="7.5703125" style="6" customWidth="1"/>
    <col min="3079" max="3079" width="15" style="6" customWidth="1"/>
    <col min="3080" max="3080" width="19.7109375" style="6" customWidth="1"/>
    <col min="3081" max="3081" width="20.7109375" style="6" customWidth="1"/>
    <col min="3082" max="3082" width="16.7109375" style="6" customWidth="1"/>
    <col min="3083" max="3083" width="7.42578125" style="6" customWidth="1"/>
    <col min="3084" max="3084" width="8.85546875" style="6" customWidth="1"/>
    <col min="3085" max="3085" width="14.7109375" style="6" customWidth="1"/>
    <col min="3086" max="3086" width="9.85546875" style="6" customWidth="1"/>
    <col min="3087" max="3087" width="7.85546875" style="6" customWidth="1"/>
    <col min="3088" max="3088" width="7.7109375" style="6" customWidth="1"/>
    <col min="3089" max="3089" width="7.5703125" style="6" customWidth="1"/>
    <col min="3090" max="3090" width="7.42578125" style="6" customWidth="1"/>
    <col min="3091" max="3093" width="9.140625" style="6"/>
    <col min="3094" max="3094" width="10.140625" style="6" bestFit="1" customWidth="1"/>
    <col min="3095" max="3328" width="9.140625" style="6"/>
    <col min="3329" max="3330" width="2.28515625" style="6" customWidth="1"/>
    <col min="3331" max="3331" width="24" style="6" customWidth="1"/>
    <col min="3332" max="3332" width="8.7109375" style="6" customWidth="1"/>
    <col min="3333" max="3333" width="10.5703125" style="6" customWidth="1"/>
    <col min="3334" max="3334" width="7.5703125" style="6" customWidth="1"/>
    <col min="3335" max="3335" width="15" style="6" customWidth="1"/>
    <col min="3336" max="3336" width="19.7109375" style="6" customWidth="1"/>
    <col min="3337" max="3337" width="20.7109375" style="6" customWidth="1"/>
    <col min="3338" max="3338" width="16.7109375" style="6" customWidth="1"/>
    <col min="3339" max="3339" width="7.42578125" style="6" customWidth="1"/>
    <col min="3340" max="3340" width="8.85546875" style="6" customWidth="1"/>
    <col min="3341" max="3341" width="14.7109375" style="6" customWidth="1"/>
    <col min="3342" max="3342" width="9.85546875" style="6" customWidth="1"/>
    <col min="3343" max="3343" width="7.85546875" style="6" customWidth="1"/>
    <col min="3344" max="3344" width="7.7109375" style="6" customWidth="1"/>
    <col min="3345" max="3345" width="7.5703125" style="6" customWidth="1"/>
    <col min="3346" max="3346" width="7.42578125" style="6" customWidth="1"/>
    <col min="3347" max="3349" width="9.140625" style="6"/>
    <col min="3350" max="3350" width="10.140625" style="6" bestFit="1" customWidth="1"/>
    <col min="3351" max="3584" width="9.140625" style="6"/>
    <col min="3585" max="3586" width="2.28515625" style="6" customWidth="1"/>
    <col min="3587" max="3587" width="24" style="6" customWidth="1"/>
    <col min="3588" max="3588" width="8.7109375" style="6" customWidth="1"/>
    <col min="3589" max="3589" width="10.5703125" style="6" customWidth="1"/>
    <col min="3590" max="3590" width="7.5703125" style="6" customWidth="1"/>
    <col min="3591" max="3591" width="15" style="6" customWidth="1"/>
    <col min="3592" max="3592" width="19.7109375" style="6" customWidth="1"/>
    <col min="3593" max="3593" width="20.7109375" style="6" customWidth="1"/>
    <col min="3594" max="3594" width="16.7109375" style="6" customWidth="1"/>
    <col min="3595" max="3595" width="7.42578125" style="6" customWidth="1"/>
    <col min="3596" max="3596" width="8.85546875" style="6" customWidth="1"/>
    <col min="3597" max="3597" width="14.7109375" style="6" customWidth="1"/>
    <col min="3598" max="3598" width="9.85546875" style="6" customWidth="1"/>
    <col min="3599" max="3599" width="7.85546875" style="6" customWidth="1"/>
    <col min="3600" max="3600" width="7.7109375" style="6" customWidth="1"/>
    <col min="3601" max="3601" width="7.5703125" style="6" customWidth="1"/>
    <col min="3602" max="3602" width="7.42578125" style="6" customWidth="1"/>
    <col min="3603" max="3605" width="9.140625" style="6"/>
    <col min="3606" max="3606" width="10.140625" style="6" bestFit="1" customWidth="1"/>
    <col min="3607" max="3840" width="9.140625" style="6"/>
    <col min="3841" max="3842" width="2.28515625" style="6" customWidth="1"/>
    <col min="3843" max="3843" width="24" style="6" customWidth="1"/>
    <col min="3844" max="3844" width="8.7109375" style="6" customWidth="1"/>
    <col min="3845" max="3845" width="10.5703125" style="6" customWidth="1"/>
    <col min="3846" max="3846" width="7.5703125" style="6" customWidth="1"/>
    <col min="3847" max="3847" width="15" style="6" customWidth="1"/>
    <col min="3848" max="3848" width="19.7109375" style="6" customWidth="1"/>
    <col min="3849" max="3849" width="20.7109375" style="6" customWidth="1"/>
    <col min="3850" max="3850" width="16.7109375" style="6" customWidth="1"/>
    <col min="3851" max="3851" width="7.42578125" style="6" customWidth="1"/>
    <col min="3852" max="3852" width="8.85546875" style="6" customWidth="1"/>
    <col min="3853" max="3853" width="14.7109375" style="6" customWidth="1"/>
    <col min="3854" max="3854" width="9.85546875" style="6" customWidth="1"/>
    <col min="3855" max="3855" width="7.85546875" style="6" customWidth="1"/>
    <col min="3856" max="3856" width="7.7109375" style="6" customWidth="1"/>
    <col min="3857" max="3857" width="7.5703125" style="6" customWidth="1"/>
    <col min="3858" max="3858" width="7.42578125" style="6" customWidth="1"/>
    <col min="3859" max="3861" width="9.140625" style="6"/>
    <col min="3862" max="3862" width="10.140625" style="6" bestFit="1" customWidth="1"/>
    <col min="3863" max="4096" width="9.140625" style="6"/>
    <col min="4097" max="4098" width="2.28515625" style="6" customWidth="1"/>
    <col min="4099" max="4099" width="24" style="6" customWidth="1"/>
    <col min="4100" max="4100" width="8.7109375" style="6" customWidth="1"/>
    <col min="4101" max="4101" width="10.5703125" style="6" customWidth="1"/>
    <col min="4102" max="4102" width="7.5703125" style="6" customWidth="1"/>
    <col min="4103" max="4103" width="15" style="6" customWidth="1"/>
    <col min="4104" max="4104" width="19.7109375" style="6" customWidth="1"/>
    <col min="4105" max="4105" width="20.7109375" style="6" customWidth="1"/>
    <col min="4106" max="4106" width="16.7109375" style="6" customWidth="1"/>
    <col min="4107" max="4107" width="7.42578125" style="6" customWidth="1"/>
    <col min="4108" max="4108" width="8.85546875" style="6" customWidth="1"/>
    <col min="4109" max="4109" width="14.7109375" style="6" customWidth="1"/>
    <col min="4110" max="4110" width="9.85546875" style="6" customWidth="1"/>
    <col min="4111" max="4111" width="7.85546875" style="6" customWidth="1"/>
    <col min="4112" max="4112" width="7.7109375" style="6" customWidth="1"/>
    <col min="4113" max="4113" width="7.5703125" style="6" customWidth="1"/>
    <col min="4114" max="4114" width="7.42578125" style="6" customWidth="1"/>
    <col min="4115" max="4117" width="9.140625" style="6"/>
    <col min="4118" max="4118" width="10.140625" style="6" bestFit="1" customWidth="1"/>
    <col min="4119" max="4352" width="9.140625" style="6"/>
    <col min="4353" max="4354" width="2.28515625" style="6" customWidth="1"/>
    <col min="4355" max="4355" width="24" style="6" customWidth="1"/>
    <col min="4356" max="4356" width="8.7109375" style="6" customWidth="1"/>
    <col min="4357" max="4357" width="10.5703125" style="6" customWidth="1"/>
    <col min="4358" max="4358" width="7.5703125" style="6" customWidth="1"/>
    <col min="4359" max="4359" width="15" style="6" customWidth="1"/>
    <col min="4360" max="4360" width="19.7109375" style="6" customWidth="1"/>
    <col min="4361" max="4361" width="20.7109375" style="6" customWidth="1"/>
    <col min="4362" max="4362" width="16.7109375" style="6" customWidth="1"/>
    <col min="4363" max="4363" width="7.42578125" style="6" customWidth="1"/>
    <col min="4364" max="4364" width="8.85546875" style="6" customWidth="1"/>
    <col min="4365" max="4365" width="14.7109375" style="6" customWidth="1"/>
    <col min="4366" max="4366" width="9.85546875" style="6" customWidth="1"/>
    <col min="4367" max="4367" width="7.85546875" style="6" customWidth="1"/>
    <col min="4368" max="4368" width="7.7109375" style="6" customWidth="1"/>
    <col min="4369" max="4369" width="7.5703125" style="6" customWidth="1"/>
    <col min="4370" max="4370" width="7.42578125" style="6" customWidth="1"/>
    <col min="4371" max="4373" width="9.140625" style="6"/>
    <col min="4374" max="4374" width="10.140625" style="6" bestFit="1" customWidth="1"/>
    <col min="4375" max="4608" width="9.140625" style="6"/>
    <col min="4609" max="4610" width="2.28515625" style="6" customWidth="1"/>
    <col min="4611" max="4611" width="24" style="6" customWidth="1"/>
    <col min="4612" max="4612" width="8.7109375" style="6" customWidth="1"/>
    <col min="4613" max="4613" width="10.5703125" style="6" customWidth="1"/>
    <col min="4614" max="4614" width="7.5703125" style="6" customWidth="1"/>
    <col min="4615" max="4615" width="15" style="6" customWidth="1"/>
    <col min="4616" max="4616" width="19.7109375" style="6" customWidth="1"/>
    <col min="4617" max="4617" width="20.7109375" style="6" customWidth="1"/>
    <col min="4618" max="4618" width="16.7109375" style="6" customWidth="1"/>
    <col min="4619" max="4619" width="7.42578125" style="6" customWidth="1"/>
    <col min="4620" max="4620" width="8.85546875" style="6" customWidth="1"/>
    <col min="4621" max="4621" width="14.7109375" style="6" customWidth="1"/>
    <col min="4622" max="4622" width="9.85546875" style="6" customWidth="1"/>
    <col min="4623" max="4623" width="7.85546875" style="6" customWidth="1"/>
    <col min="4624" max="4624" width="7.7109375" style="6" customWidth="1"/>
    <col min="4625" max="4625" width="7.5703125" style="6" customWidth="1"/>
    <col min="4626" max="4626" width="7.42578125" style="6" customWidth="1"/>
    <col min="4627" max="4629" width="9.140625" style="6"/>
    <col min="4630" max="4630" width="10.140625" style="6" bestFit="1" customWidth="1"/>
    <col min="4631" max="4864" width="9.140625" style="6"/>
    <col min="4865" max="4866" width="2.28515625" style="6" customWidth="1"/>
    <col min="4867" max="4867" width="24" style="6" customWidth="1"/>
    <col min="4868" max="4868" width="8.7109375" style="6" customWidth="1"/>
    <col min="4869" max="4869" width="10.5703125" style="6" customWidth="1"/>
    <col min="4870" max="4870" width="7.5703125" style="6" customWidth="1"/>
    <col min="4871" max="4871" width="15" style="6" customWidth="1"/>
    <col min="4872" max="4872" width="19.7109375" style="6" customWidth="1"/>
    <col min="4873" max="4873" width="20.7109375" style="6" customWidth="1"/>
    <col min="4874" max="4874" width="16.7109375" style="6" customWidth="1"/>
    <col min="4875" max="4875" width="7.42578125" style="6" customWidth="1"/>
    <col min="4876" max="4876" width="8.85546875" style="6" customWidth="1"/>
    <col min="4877" max="4877" width="14.7109375" style="6" customWidth="1"/>
    <col min="4878" max="4878" width="9.85546875" style="6" customWidth="1"/>
    <col min="4879" max="4879" width="7.85546875" style="6" customWidth="1"/>
    <col min="4880" max="4880" width="7.7109375" style="6" customWidth="1"/>
    <col min="4881" max="4881" width="7.5703125" style="6" customWidth="1"/>
    <col min="4882" max="4882" width="7.42578125" style="6" customWidth="1"/>
    <col min="4883" max="4885" width="9.140625" style="6"/>
    <col min="4886" max="4886" width="10.140625" style="6" bestFit="1" customWidth="1"/>
    <col min="4887" max="5120" width="9.140625" style="6"/>
    <col min="5121" max="5122" width="2.28515625" style="6" customWidth="1"/>
    <col min="5123" max="5123" width="24" style="6" customWidth="1"/>
    <col min="5124" max="5124" width="8.7109375" style="6" customWidth="1"/>
    <col min="5125" max="5125" width="10.5703125" style="6" customWidth="1"/>
    <col min="5126" max="5126" width="7.5703125" style="6" customWidth="1"/>
    <col min="5127" max="5127" width="15" style="6" customWidth="1"/>
    <col min="5128" max="5128" width="19.7109375" style="6" customWidth="1"/>
    <col min="5129" max="5129" width="20.7109375" style="6" customWidth="1"/>
    <col min="5130" max="5130" width="16.7109375" style="6" customWidth="1"/>
    <col min="5131" max="5131" width="7.42578125" style="6" customWidth="1"/>
    <col min="5132" max="5132" width="8.85546875" style="6" customWidth="1"/>
    <col min="5133" max="5133" width="14.7109375" style="6" customWidth="1"/>
    <col min="5134" max="5134" width="9.85546875" style="6" customWidth="1"/>
    <col min="5135" max="5135" width="7.85546875" style="6" customWidth="1"/>
    <col min="5136" max="5136" width="7.7109375" style="6" customWidth="1"/>
    <col min="5137" max="5137" width="7.5703125" style="6" customWidth="1"/>
    <col min="5138" max="5138" width="7.42578125" style="6" customWidth="1"/>
    <col min="5139" max="5141" width="9.140625" style="6"/>
    <col min="5142" max="5142" width="10.140625" style="6" bestFit="1" customWidth="1"/>
    <col min="5143" max="5376" width="9.140625" style="6"/>
    <col min="5377" max="5378" width="2.28515625" style="6" customWidth="1"/>
    <col min="5379" max="5379" width="24" style="6" customWidth="1"/>
    <col min="5380" max="5380" width="8.7109375" style="6" customWidth="1"/>
    <col min="5381" max="5381" width="10.5703125" style="6" customWidth="1"/>
    <col min="5382" max="5382" width="7.5703125" style="6" customWidth="1"/>
    <col min="5383" max="5383" width="15" style="6" customWidth="1"/>
    <col min="5384" max="5384" width="19.7109375" style="6" customWidth="1"/>
    <col min="5385" max="5385" width="20.7109375" style="6" customWidth="1"/>
    <col min="5386" max="5386" width="16.7109375" style="6" customWidth="1"/>
    <col min="5387" max="5387" width="7.42578125" style="6" customWidth="1"/>
    <col min="5388" max="5388" width="8.85546875" style="6" customWidth="1"/>
    <col min="5389" max="5389" width="14.7109375" style="6" customWidth="1"/>
    <col min="5390" max="5390" width="9.85546875" style="6" customWidth="1"/>
    <col min="5391" max="5391" width="7.85546875" style="6" customWidth="1"/>
    <col min="5392" max="5392" width="7.7109375" style="6" customWidth="1"/>
    <col min="5393" max="5393" width="7.5703125" style="6" customWidth="1"/>
    <col min="5394" max="5394" width="7.42578125" style="6" customWidth="1"/>
    <col min="5395" max="5397" width="9.140625" style="6"/>
    <col min="5398" max="5398" width="10.140625" style="6" bestFit="1" customWidth="1"/>
    <col min="5399" max="5632" width="9.140625" style="6"/>
    <col min="5633" max="5634" width="2.28515625" style="6" customWidth="1"/>
    <col min="5635" max="5635" width="24" style="6" customWidth="1"/>
    <col min="5636" max="5636" width="8.7109375" style="6" customWidth="1"/>
    <col min="5637" max="5637" width="10.5703125" style="6" customWidth="1"/>
    <col min="5638" max="5638" width="7.5703125" style="6" customWidth="1"/>
    <col min="5639" max="5639" width="15" style="6" customWidth="1"/>
    <col min="5640" max="5640" width="19.7109375" style="6" customWidth="1"/>
    <col min="5641" max="5641" width="20.7109375" style="6" customWidth="1"/>
    <col min="5642" max="5642" width="16.7109375" style="6" customWidth="1"/>
    <col min="5643" max="5643" width="7.42578125" style="6" customWidth="1"/>
    <col min="5644" max="5644" width="8.85546875" style="6" customWidth="1"/>
    <col min="5645" max="5645" width="14.7109375" style="6" customWidth="1"/>
    <col min="5646" max="5646" width="9.85546875" style="6" customWidth="1"/>
    <col min="5647" max="5647" width="7.85546875" style="6" customWidth="1"/>
    <col min="5648" max="5648" width="7.7109375" style="6" customWidth="1"/>
    <col min="5649" max="5649" width="7.5703125" style="6" customWidth="1"/>
    <col min="5650" max="5650" width="7.42578125" style="6" customWidth="1"/>
    <col min="5651" max="5653" width="9.140625" style="6"/>
    <col min="5654" max="5654" width="10.140625" style="6" bestFit="1" customWidth="1"/>
    <col min="5655" max="5888" width="9.140625" style="6"/>
    <col min="5889" max="5890" width="2.28515625" style="6" customWidth="1"/>
    <col min="5891" max="5891" width="24" style="6" customWidth="1"/>
    <col min="5892" max="5892" width="8.7109375" style="6" customWidth="1"/>
    <col min="5893" max="5893" width="10.5703125" style="6" customWidth="1"/>
    <col min="5894" max="5894" width="7.5703125" style="6" customWidth="1"/>
    <col min="5895" max="5895" width="15" style="6" customWidth="1"/>
    <col min="5896" max="5896" width="19.7109375" style="6" customWidth="1"/>
    <col min="5897" max="5897" width="20.7109375" style="6" customWidth="1"/>
    <col min="5898" max="5898" width="16.7109375" style="6" customWidth="1"/>
    <col min="5899" max="5899" width="7.42578125" style="6" customWidth="1"/>
    <col min="5900" max="5900" width="8.85546875" style="6" customWidth="1"/>
    <col min="5901" max="5901" width="14.7109375" style="6" customWidth="1"/>
    <col min="5902" max="5902" width="9.85546875" style="6" customWidth="1"/>
    <col min="5903" max="5903" width="7.85546875" style="6" customWidth="1"/>
    <col min="5904" max="5904" width="7.7109375" style="6" customWidth="1"/>
    <col min="5905" max="5905" width="7.5703125" style="6" customWidth="1"/>
    <col min="5906" max="5906" width="7.42578125" style="6" customWidth="1"/>
    <col min="5907" max="5909" width="9.140625" style="6"/>
    <col min="5910" max="5910" width="10.140625" style="6" bestFit="1" customWidth="1"/>
    <col min="5911" max="6144" width="9.140625" style="6"/>
    <col min="6145" max="6146" width="2.28515625" style="6" customWidth="1"/>
    <col min="6147" max="6147" width="24" style="6" customWidth="1"/>
    <col min="6148" max="6148" width="8.7109375" style="6" customWidth="1"/>
    <col min="6149" max="6149" width="10.5703125" style="6" customWidth="1"/>
    <col min="6150" max="6150" width="7.5703125" style="6" customWidth="1"/>
    <col min="6151" max="6151" width="15" style="6" customWidth="1"/>
    <col min="6152" max="6152" width="19.7109375" style="6" customWidth="1"/>
    <col min="6153" max="6153" width="20.7109375" style="6" customWidth="1"/>
    <col min="6154" max="6154" width="16.7109375" style="6" customWidth="1"/>
    <col min="6155" max="6155" width="7.42578125" style="6" customWidth="1"/>
    <col min="6156" max="6156" width="8.85546875" style="6" customWidth="1"/>
    <col min="6157" max="6157" width="14.7109375" style="6" customWidth="1"/>
    <col min="6158" max="6158" width="9.85546875" style="6" customWidth="1"/>
    <col min="6159" max="6159" width="7.85546875" style="6" customWidth="1"/>
    <col min="6160" max="6160" width="7.7109375" style="6" customWidth="1"/>
    <col min="6161" max="6161" width="7.5703125" style="6" customWidth="1"/>
    <col min="6162" max="6162" width="7.42578125" style="6" customWidth="1"/>
    <col min="6163" max="6165" width="9.140625" style="6"/>
    <col min="6166" max="6166" width="10.140625" style="6" bestFit="1" customWidth="1"/>
    <col min="6167" max="6400" width="9.140625" style="6"/>
    <col min="6401" max="6402" width="2.28515625" style="6" customWidth="1"/>
    <col min="6403" max="6403" width="24" style="6" customWidth="1"/>
    <col min="6404" max="6404" width="8.7109375" style="6" customWidth="1"/>
    <col min="6405" max="6405" width="10.5703125" style="6" customWidth="1"/>
    <col min="6406" max="6406" width="7.5703125" style="6" customWidth="1"/>
    <col min="6407" max="6407" width="15" style="6" customWidth="1"/>
    <col min="6408" max="6408" width="19.7109375" style="6" customWidth="1"/>
    <col min="6409" max="6409" width="20.7109375" style="6" customWidth="1"/>
    <col min="6410" max="6410" width="16.7109375" style="6" customWidth="1"/>
    <col min="6411" max="6411" width="7.42578125" style="6" customWidth="1"/>
    <col min="6412" max="6412" width="8.85546875" style="6" customWidth="1"/>
    <col min="6413" max="6413" width="14.7109375" style="6" customWidth="1"/>
    <col min="6414" max="6414" width="9.85546875" style="6" customWidth="1"/>
    <col min="6415" max="6415" width="7.85546875" style="6" customWidth="1"/>
    <col min="6416" max="6416" width="7.7109375" style="6" customWidth="1"/>
    <col min="6417" max="6417" width="7.5703125" style="6" customWidth="1"/>
    <col min="6418" max="6418" width="7.42578125" style="6" customWidth="1"/>
    <col min="6419" max="6421" width="9.140625" style="6"/>
    <col min="6422" max="6422" width="10.140625" style="6" bestFit="1" customWidth="1"/>
    <col min="6423" max="6656" width="9.140625" style="6"/>
    <col min="6657" max="6658" width="2.28515625" style="6" customWidth="1"/>
    <col min="6659" max="6659" width="24" style="6" customWidth="1"/>
    <col min="6660" max="6660" width="8.7109375" style="6" customWidth="1"/>
    <col min="6661" max="6661" width="10.5703125" style="6" customWidth="1"/>
    <col min="6662" max="6662" width="7.5703125" style="6" customWidth="1"/>
    <col min="6663" max="6663" width="15" style="6" customWidth="1"/>
    <col min="6664" max="6664" width="19.7109375" style="6" customWidth="1"/>
    <col min="6665" max="6665" width="20.7109375" style="6" customWidth="1"/>
    <col min="6666" max="6666" width="16.7109375" style="6" customWidth="1"/>
    <col min="6667" max="6667" width="7.42578125" style="6" customWidth="1"/>
    <col min="6668" max="6668" width="8.85546875" style="6" customWidth="1"/>
    <col min="6669" max="6669" width="14.7109375" style="6" customWidth="1"/>
    <col min="6670" max="6670" width="9.85546875" style="6" customWidth="1"/>
    <col min="6671" max="6671" width="7.85546875" style="6" customWidth="1"/>
    <col min="6672" max="6672" width="7.7109375" style="6" customWidth="1"/>
    <col min="6673" max="6673" width="7.5703125" style="6" customWidth="1"/>
    <col min="6674" max="6674" width="7.42578125" style="6" customWidth="1"/>
    <col min="6675" max="6677" width="9.140625" style="6"/>
    <col min="6678" max="6678" width="10.140625" style="6" bestFit="1" customWidth="1"/>
    <col min="6679" max="6912" width="9.140625" style="6"/>
    <col min="6913" max="6914" width="2.28515625" style="6" customWidth="1"/>
    <col min="6915" max="6915" width="24" style="6" customWidth="1"/>
    <col min="6916" max="6916" width="8.7109375" style="6" customWidth="1"/>
    <col min="6917" max="6917" width="10.5703125" style="6" customWidth="1"/>
    <col min="6918" max="6918" width="7.5703125" style="6" customWidth="1"/>
    <col min="6919" max="6919" width="15" style="6" customWidth="1"/>
    <col min="6920" max="6920" width="19.7109375" style="6" customWidth="1"/>
    <col min="6921" max="6921" width="20.7109375" style="6" customWidth="1"/>
    <col min="6922" max="6922" width="16.7109375" style="6" customWidth="1"/>
    <col min="6923" max="6923" width="7.42578125" style="6" customWidth="1"/>
    <col min="6924" max="6924" width="8.85546875" style="6" customWidth="1"/>
    <col min="6925" max="6925" width="14.7109375" style="6" customWidth="1"/>
    <col min="6926" max="6926" width="9.85546875" style="6" customWidth="1"/>
    <col min="6927" max="6927" width="7.85546875" style="6" customWidth="1"/>
    <col min="6928" max="6928" width="7.7109375" style="6" customWidth="1"/>
    <col min="6929" max="6929" width="7.5703125" style="6" customWidth="1"/>
    <col min="6930" max="6930" width="7.42578125" style="6" customWidth="1"/>
    <col min="6931" max="6933" width="9.140625" style="6"/>
    <col min="6934" max="6934" width="10.140625" style="6" bestFit="1" customWidth="1"/>
    <col min="6935" max="7168" width="9.140625" style="6"/>
    <col min="7169" max="7170" width="2.28515625" style="6" customWidth="1"/>
    <col min="7171" max="7171" width="24" style="6" customWidth="1"/>
    <col min="7172" max="7172" width="8.7109375" style="6" customWidth="1"/>
    <col min="7173" max="7173" width="10.5703125" style="6" customWidth="1"/>
    <col min="7174" max="7174" width="7.5703125" style="6" customWidth="1"/>
    <col min="7175" max="7175" width="15" style="6" customWidth="1"/>
    <col min="7176" max="7176" width="19.7109375" style="6" customWidth="1"/>
    <col min="7177" max="7177" width="20.7109375" style="6" customWidth="1"/>
    <col min="7178" max="7178" width="16.7109375" style="6" customWidth="1"/>
    <col min="7179" max="7179" width="7.42578125" style="6" customWidth="1"/>
    <col min="7180" max="7180" width="8.85546875" style="6" customWidth="1"/>
    <col min="7181" max="7181" width="14.7109375" style="6" customWidth="1"/>
    <col min="7182" max="7182" width="9.85546875" style="6" customWidth="1"/>
    <col min="7183" max="7183" width="7.85546875" style="6" customWidth="1"/>
    <col min="7184" max="7184" width="7.7109375" style="6" customWidth="1"/>
    <col min="7185" max="7185" width="7.5703125" style="6" customWidth="1"/>
    <col min="7186" max="7186" width="7.42578125" style="6" customWidth="1"/>
    <col min="7187" max="7189" width="9.140625" style="6"/>
    <col min="7190" max="7190" width="10.140625" style="6" bestFit="1" customWidth="1"/>
    <col min="7191" max="7424" width="9.140625" style="6"/>
    <col min="7425" max="7426" width="2.28515625" style="6" customWidth="1"/>
    <col min="7427" max="7427" width="24" style="6" customWidth="1"/>
    <col min="7428" max="7428" width="8.7109375" style="6" customWidth="1"/>
    <col min="7429" max="7429" width="10.5703125" style="6" customWidth="1"/>
    <col min="7430" max="7430" width="7.5703125" style="6" customWidth="1"/>
    <col min="7431" max="7431" width="15" style="6" customWidth="1"/>
    <col min="7432" max="7432" width="19.7109375" style="6" customWidth="1"/>
    <col min="7433" max="7433" width="20.7109375" style="6" customWidth="1"/>
    <col min="7434" max="7434" width="16.7109375" style="6" customWidth="1"/>
    <col min="7435" max="7435" width="7.42578125" style="6" customWidth="1"/>
    <col min="7436" max="7436" width="8.85546875" style="6" customWidth="1"/>
    <col min="7437" max="7437" width="14.7109375" style="6" customWidth="1"/>
    <col min="7438" max="7438" width="9.85546875" style="6" customWidth="1"/>
    <col min="7439" max="7439" width="7.85546875" style="6" customWidth="1"/>
    <col min="7440" max="7440" width="7.7109375" style="6" customWidth="1"/>
    <col min="7441" max="7441" width="7.5703125" style="6" customWidth="1"/>
    <col min="7442" max="7442" width="7.42578125" style="6" customWidth="1"/>
    <col min="7443" max="7445" width="9.140625" style="6"/>
    <col min="7446" max="7446" width="10.140625" style="6" bestFit="1" customWidth="1"/>
    <col min="7447" max="7680" width="9.140625" style="6"/>
    <col min="7681" max="7682" width="2.28515625" style="6" customWidth="1"/>
    <col min="7683" max="7683" width="24" style="6" customWidth="1"/>
    <col min="7684" max="7684" width="8.7109375" style="6" customWidth="1"/>
    <col min="7685" max="7685" width="10.5703125" style="6" customWidth="1"/>
    <col min="7686" max="7686" width="7.5703125" style="6" customWidth="1"/>
    <col min="7687" max="7687" width="15" style="6" customWidth="1"/>
    <col min="7688" max="7688" width="19.7109375" style="6" customWidth="1"/>
    <col min="7689" max="7689" width="20.7109375" style="6" customWidth="1"/>
    <col min="7690" max="7690" width="16.7109375" style="6" customWidth="1"/>
    <col min="7691" max="7691" width="7.42578125" style="6" customWidth="1"/>
    <col min="7692" max="7692" width="8.85546875" style="6" customWidth="1"/>
    <col min="7693" max="7693" width="14.7109375" style="6" customWidth="1"/>
    <col min="7694" max="7694" width="9.85546875" style="6" customWidth="1"/>
    <col min="7695" max="7695" width="7.85546875" style="6" customWidth="1"/>
    <col min="7696" max="7696" width="7.7109375" style="6" customWidth="1"/>
    <col min="7697" max="7697" width="7.5703125" style="6" customWidth="1"/>
    <col min="7698" max="7698" width="7.42578125" style="6" customWidth="1"/>
    <col min="7699" max="7701" width="9.140625" style="6"/>
    <col min="7702" max="7702" width="10.140625" style="6" bestFit="1" customWidth="1"/>
    <col min="7703" max="7936" width="9.140625" style="6"/>
    <col min="7937" max="7938" width="2.28515625" style="6" customWidth="1"/>
    <col min="7939" max="7939" width="24" style="6" customWidth="1"/>
    <col min="7940" max="7940" width="8.7109375" style="6" customWidth="1"/>
    <col min="7941" max="7941" width="10.5703125" style="6" customWidth="1"/>
    <col min="7942" max="7942" width="7.5703125" style="6" customWidth="1"/>
    <col min="7943" max="7943" width="15" style="6" customWidth="1"/>
    <col min="7944" max="7944" width="19.7109375" style="6" customWidth="1"/>
    <col min="7945" max="7945" width="20.7109375" style="6" customWidth="1"/>
    <col min="7946" max="7946" width="16.7109375" style="6" customWidth="1"/>
    <col min="7947" max="7947" width="7.42578125" style="6" customWidth="1"/>
    <col min="7948" max="7948" width="8.85546875" style="6" customWidth="1"/>
    <col min="7949" max="7949" width="14.7109375" style="6" customWidth="1"/>
    <col min="7950" max="7950" width="9.85546875" style="6" customWidth="1"/>
    <col min="7951" max="7951" width="7.85546875" style="6" customWidth="1"/>
    <col min="7952" max="7952" width="7.7109375" style="6" customWidth="1"/>
    <col min="7953" max="7953" width="7.5703125" style="6" customWidth="1"/>
    <col min="7954" max="7954" width="7.42578125" style="6" customWidth="1"/>
    <col min="7955" max="7957" width="9.140625" style="6"/>
    <col min="7958" max="7958" width="10.140625" style="6" bestFit="1" customWidth="1"/>
    <col min="7959" max="8192" width="9.140625" style="6"/>
    <col min="8193" max="8194" width="2.28515625" style="6" customWidth="1"/>
    <col min="8195" max="8195" width="24" style="6" customWidth="1"/>
    <col min="8196" max="8196" width="8.7109375" style="6" customWidth="1"/>
    <col min="8197" max="8197" width="10.5703125" style="6" customWidth="1"/>
    <col min="8198" max="8198" width="7.5703125" style="6" customWidth="1"/>
    <col min="8199" max="8199" width="15" style="6" customWidth="1"/>
    <col min="8200" max="8200" width="19.7109375" style="6" customWidth="1"/>
    <col min="8201" max="8201" width="20.7109375" style="6" customWidth="1"/>
    <col min="8202" max="8202" width="16.7109375" style="6" customWidth="1"/>
    <col min="8203" max="8203" width="7.42578125" style="6" customWidth="1"/>
    <col min="8204" max="8204" width="8.85546875" style="6" customWidth="1"/>
    <col min="8205" max="8205" width="14.7109375" style="6" customWidth="1"/>
    <col min="8206" max="8206" width="9.85546875" style="6" customWidth="1"/>
    <col min="8207" max="8207" width="7.85546875" style="6" customWidth="1"/>
    <col min="8208" max="8208" width="7.7109375" style="6" customWidth="1"/>
    <col min="8209" max="8209" width="7.5703125" style="6" customWidth="1"/>
    <col min="8210" max="8210" width="7.42578125" style="6" customWidth="1"/>
    <col min="8211" max="8213" width="9.140625" style="6"/>
    <col min="8214" max="8214" width="10.140625" style="6" bestFit="1" customWidth="1"/>
    <col min="8215" max="8448" width="9.140625" style="6"/>
    <col min="8449" max="8450" width="2.28515625" style="6" customWidth="1"/>
    <col min="8451" max="8451" width="24" style="6" customWidth="1"/>
    <col min="8452" max="8452" width="8.7109375" style="6" customWidth="1"/>
    <col min="8453" max="8453" width="10.5703125" style="6" customWidth="1"/>
    <col min="8454" max="8454" width="7.5703125" style="6" customWidth="1"/>
    <col min="8455" max="8455" width="15" style="6" customWidth="1"/>
    <col min="8456" max="8456" width="19.7109375" style="6" customWidth="1"/>
    <col min="8457" max="8457" width="20.7109375" style="6" customWidth="1"/>
    <col min="8458" max="8458" width="16.7109375" style="6" customWidth="1"/>
    <col min="8459" max="8459" width="7.42578125" style="6" customWidth="1"/>
    <col min="8460" max="8460" width="8.85546875" style="6" customWidth="1"/>
    <col min="8461" max="8461" width="14.7109375" style="6" customWidth="1"/>
    <col min="8462" max="8462" width="9.85546875" style="6" customWidth="1"/>
    <col min="8463" max="8463" width="7.85546875" style="6" customWidth="1"/>
    <col min="8464" max="8464" width="7.7109375" style="6" customWidth="1"/>
    <col min="8465" max="8465" width="7.5703125" style="6" customWidth="1"/>
    <col min="8466" max="8466" width="7.42578125" style="6" customWidth="1"/>
    <col min="8467" max="8469" width="9.140625" style="6"/>
    <col min="8470" max="8470" width="10.140625" style="6" bestFit="1" customWidth="1"/>
    <col min="8471" max="8704" width="9.140625" style="6"/>
    <col min="8705" max="8706" width="2.28515625" style="6" customWidth="1"/>
    <col min="8707" max="8707" width="24" style="6" customWidth="1"/>
    <col min="8708" max="8708" width="8.7109375" style="6" customWidth="1"/>
    <col min="8709" max="8709" width="10.5703125" style="6" customWidth="1"/>
    <col min="8710" max="8710" width="7.5703125" style="6" customWidth="1"/>
    <col min="8711" max="8711" width="15" style="6" customWidth="1"/>
    <col min="8712" max="8712" width="19.7109375" style="6" customWidth="1"/>
    <col min="8713" max="8713" width="20.7109375" style="6" customWidth="1"/>
    <col min="8714" max="8714" width="16.7109375" style="6" customWidth="1"/>
    <col min="8715" max="8715" width="7.42578125" style="6" customWidth="1"/>
    <col min="8716" max="8716" width="8.85546875" style="6" customWidth="1"/>
    <col min="8717" max="8717" width="14.7109375" style="6" customWidth="1"/>
    <col min="8718" max="8718" width="9.85546875" style="6" customWidth="1"/>
    <col min="8719" max="8719" width="7.85546875" style="6" customWidth="1"/>
    <col min="8720" max="8720" width="7.7109375" style="6" customWidth="1"/>
    <col min="8721" max="8721" width="7.5703125" style="6" customWidth="1"/>
    <col min="8722" max="8722" width="7.42578125" style="6" customWidth="1"/>
    <col min="8723" max="8725" width="9.140625" style="6"/>
    <col min="8726" max="8726" width="10.140625" style="6" bestFit="1" customWidth="1"/>
    <col min="8727" max="8960" width="9.140625" style="6"/>
    <col min="8961" max="8962" width="2.28515625" style="6" customWidth="1"/>
    <col min="8963" max="8963" width="24" style="6" customWidth="1"/>
    <col min="8964" max="8964" width="8.7109375" style="6" customWidth="1"/>
    <col min="8965" max="8965" width="10.5703125" style="6" customWidth="1"/>
    <col min="8966" max="8966" width="7.5703125" style="6" customWidth="1"/>
    <col min="8967" max="8967" width="15" style="6" customWidth="1"/>
    <col min="8968" max="8968" width="19.7109375" style="6" customWidth="1"/>
    <col min="8969" max="8969" width="20.7109375" style="6" customWidth="1"/>
    <col min="8970" max="8970" width="16.7109375" style="6" customWidth="1"/>
    <col min="8971" max="8971" width="7.42578125" style="6" customWidth="1"/>
    <col min="8972" max="8972" width="8.85546875" style="6" customWidth="1"/>
    <col min="8973" max="8973" width="14.7109375" style="6" customWidth="1"/>
    <col min="8974" max="8974" width="9.85546875" style="6" customWidth="1"/>
    <col min="8975" max="8975" width="7.85546875" style="6" customWidth="1"/>
    <col min="8976" max="8976" width="7.7109375" style="6" customWidth="1"/>
    <col min="8977" max="8977" width="7.5703125" style="6" customWidth="1"/>
    <col min="8978" max="8978" width="7.42578125" style="6" customWidth="1"/>
    <col min="8979" max="8981" width="9.140625" style="6"/>
    <col min="8982" max="8982" width="10.140625" style="6" bestFit="1" customWidth="1"/>
    <col min="8983" max="9216" width="9.140625" style="6"/>
    <col min="9217" max="9218" width="2.28515625" style="6" customWidth="1"/>
    <col min="9219" max="9219" width="24" style="6" customWidth="1"/>
    <col min="9220" max="9220" width="8.7109375" style="6" customWidth="1"/>
    <col min="9221" max="9221" width="10.5703125" style="6" customWidth="1"/>
    <col min="9222" max="9222" width="7.5703125" style="6" customWidth="1"/>
    <col min="9223" max="9223" width="15" style="6" customWidth="1"/>
    <col min="9224" max="9224" width="19.7109375" style="6" customWidth="1"/>
    <col min="9225" max="9225" width="20.7109375" style="6" customWidth="1"/>
    <col min="9226" max="9226" width="16.7109375" style="6" customWidth="1"/>
    <col min="9227" max="9227" width="7.42578125" style="6" customWidth="1"/>
    <col min="9228" max="9228" width="8.85546875" style="6" customWidth="1"/>
    <col min="9229" max="9229" width="14.7109375" style="6" customWidth="1"/>
    <col min="9230" max="9230" width="9.85546875" style="6" customWidth="1"/>
    <col min="9231" max="9231" width="7.85546875" style="6" customWidth="1"/>
    <col min="9232" max="9232" width="7.7109375" style="6" customWidth="1"/>
    <col min="9233" max="9233" width="7.5703125" style="6" customWidth="1"/>
    <col min="9234" max="9234" width="7.42578125" style="6" customWidth="1"/>
    <col min="9235" max="9237" width="9.140625" style="6"/>
    <col min="9238" max="9238" width="10.140625" style="6" bestFit="1" customWidth="1"/>
    <col min="9239" max="9472" width="9.140625" style="6"/>
    <col min="9473" max="9474" width="2.28515625" style="6" customWidth="1"/>
    <col min="9475" max="9475" width="24" style="6" customWidth="1"/>
    <col min="9476" max="9476" width="8.7109375" style="6" customWidth="1"/>
    <col min="9477" max="9477" width="10.5703125" style="6" customWidth="1"/>
    <col min="9478" max="9478" width="7.5703125" style="6" customWidth="1"/>
    <col min="9479" max="9479" width="15" style="6" customWidth="1"/>
    <col min="9480" max="9480" width="19.7109375" style="6" customWidth="1"/>
    <col min="9481" max="9481" width="20.7109375" style="6" customWidth="1"/>
    <col min="9482" max="9482" width="16.7109375" style="6" customWidth="1"/>
    <col min="9483" max="9483" width="7.42578125" style="6" customWidth="1"/>
    <col min="9484" max="9484" width="8.85546875" style="6" customWidth="1"/>
    <col min="9485" max="9485" width="14.7109375" style="6" customWidth="1"/>
    <col min="9486" max="9486" width="9.85546875" style="6" customWidth="1"/>
    <col min="9487" max="9487" width="7.85546875" style="6" customWidth="1"/>
    <col min="9488" max="9488" width="7.7109375" style="6" customWidth="1"/>
    <col min="9489" max="9489" width="7.5703125" style="6" customWidth="1"/>
    <col min="9490" max="9490" width="7.42578125" style="6" customWidth="1"/>
    <col min="9491" max="9493" width="9.140625" style="6"/>
    <col min="9494" max="9494" width="10.140625" style="6" bestFit="1" customWidth="1"/>
    <col min="9495" max="9728" width="9.140625" style="6"/>
    <col min="9729" max="9730" width="2.28515625" style="6" customWidth="1"/>
    <col min="9731" max="9731" width="24" style="6" customWidth="1"/>
    <col min="9732" max="9732" width="8.7109375" style="6" customWidth="1"/>
    <col min="9733" max="9733" width="10.5703125" style="6" customWidth="1"/>
    <col min="9734" max="9734" width="7.5703125" style="6" customWidth="1"/>
    <col min="9735" max="9735" width="15" style="6" customWidth="1"/>
    <col min="9736" max="9736" width="19.7109375" style="6" customWidth="1"/>
    <col min="9737" max="9737" width="20.7109375" style="6" customWidth="1"/>
    <col min="9738" max="9738" width="16.7109375" style="6" customWidth="1"/>
    <col min="9739" max="9739" width="7.42578125" style="6" customWidth="1"/>
    <col min="9740" max="9740" width="8.85546875" style="6" customWidth="1"/>
    <col min="9741" max="9741" width="14.7109375" style="6" customWidth="1"/>
    <col min="9742" max="9742" width="9.85546875" style="6" customWidth="1"/>
    <col min="9743" max="9743" width="7.85546875" style="6" customWidth="1"/>
    <col min="9744" max="9744" width="7.7109375" style="6" customWidth="1"/>
    <col min="9745" max="9745" width="7.5703125" style="6" customWidth="1"/>
    <col min="9746" max="9746" width="7.42578125" style="6" customWidth="1"/>
    <col min="9747" max="9749" width="9.140625" style="6"/>
    <col min="9750" max="9750" width="10.140625" style="6" bestFit="1" customWidth="1"/>
    <col min="9751" max="9984" width="9.140625" style="6"/>
    <col min="9985" max="9986" width="2.28515625" style="6" customWidth="1"/>
    <col min="9987" max="9987" width="24" style="6" customWidth="1"/>
    <col min="9988" max="9988" width="8.7109375" style="6" customWidth="1"/>
    <col min="9989" max="9989" width="10.5703125" style="6" customWidth="1"/>
    <col min="9990" max="9990" width="7.5703125" style="6" customWidth="1"/>
    <col min="9991" max="9991" width="15" style="6" customWidth="1"/>
    <col min="9992" max="9992" width="19.7109375" style="6" customWidth="1"/>
    <col min="9993" max="9993" width="20.7109375" style="6" customWidth="1"/>
    <col min="9994" max="9994" width="16.7109375" style="6" customWidth="1"/>
    <col min="9995" max="9995" width="7.42578125" style="6" customWidth="1"/>
    <col min="9996" max="9996" width="8.85546875" style="6" customWidth="1"/>
    <col min="9997" max="9997" width="14.7109375" style="6" customWidth="1"/>
    <col min="9998" max="9998" width="9.85546875" style="6" customWidth="1"/>
    <col min="9999" max="9999" width="7.85546875" style="6" customWidth="1"/>
    <col min="10000" max="10000" width="7.7109375" style="6" customWidth="1"/>
    <col min="10001" max="10001" width="7.5703125" style="6" customWidth="1"/>
    <col min="10002" max="10002" width="7.42578125" style="6" customWidth="1"/>
    <col min="10003" max="10005" width="9.140625" style="6"/>
    <col min="10006" max="10006" width="10.140625" style="6" bestFit="1" customWidth="1"/>
    <col min="10007" max="10240" width="9.140625" style="6"/>
    <col min="10241" max="10242" width="2.28515625" style="6" customWidth="1"/>
    <col min="10243" max="10243" width="24" style="6" customWidth="1"/>
    <col min="10244" max="10244" width="8.7109375" style="6" customWidth="1"/>
    <col min="10245" max="10245" width="10.5703125" style="6" customWidth="1"/>
    <col min="10246" max="10246" width="7.5703125" style="6" customWidth="1"/>
    <col min="10247" max="10247" width="15" style="6" customWidth="1"/>
    <col min="10248" max="10248" width="19.7109375" style="6" customWidth="1"/>
    <col min="10249" max="10249" width="20.7109375" style="6" customWidth="1"/>
    <col min="10250" max="10250" width="16.7109375" style="6" customWidth="1"/>
    <col min="10251" max="10251" width="7.42578125" style="6" customWidth="1"/>
    <col min="10252" max="10252" width="8.85546875" style="6" customWidth="1"/>
    <col min="10253" max="10253" width="14.7109375" style="6" customWidth="1"/>
    <col min="10254" max="10254" width="9.85546875" style="6" customWidth="1"/>
    <col min="10255" max="10255" width="7.85546875" style="6" customWidth="1"/>
    <col min="10256" max="10256" width="7.7109375" style="6" customWidth="1"/>
    <col min="10257" max="10257" width="7.5703125" style="6" customWidth="1"/>
    <col min="10258" max="10258" width="7.42578125" style="6" customWidth="1"/>
    <col min="10259" max="10261" width="9.140625" style="6"/>
    <col min="10262" max="10262" width="10.140625" style="6" bestFit="1" customWidth="1"/>
    <col min="10263" max="10496" width="9.140625" style="6"/>
    <col min="10497" max="10498" width="2.28515625" style="6" customWidth="1"/>
    <col min="10499" max="10499" width="24" style="6" customWidth="1"/>
    <col min="10500" max="10500" width="8.7109375" style="6" customWidth="1"/>
    <col min="10501" max="10501" width="10.5703125" style="6" customWidth="1"/>
    <col min="10502" max="10502" width="7.5703125" style="6" customWidth="1"/>
    <col min="10503" max="10503" width="15" style="6" customWidth="1"/>
    <col min="10504" max="10504" width="19.7109375" style="6" customWidth="1"/>
    <col min="10505" max="10505" width="20.7109375" style="6" customWidth="1"/>
    <col min="10506" max="10506" width="16.7109375" style="6" customWidth="1"/>
    <col min="10507" max="10507" width="7.42578125" style="6" customWidth="1"/>
    <col min="10508" max="10508" width="8.85546875" style="6" customWidth="1"/>
    <col min="10509" max="10509" width="14.7109375" style="6" customWidth="1"/>
    <col min="10510" max="10510" width="9.85546875" style="6" customWidth="1"/>
    <col min="10511" max="10511" width="7.85546875" style="6" customWidth="1"/>
    <col min="10512" max="10512" width="7.7109375" style="6" customWidth="1"/>
    <col min="10513" max="10513" width="7.5703125" style="6" customWidth="1"/>
    <col min="10514" max="10514" width="7.42578125" style="6" customWidth="1"/>
    <col min="10515" max="10517" width="9.140625" style="6"/>
    <col min="10518" max="10518" width="10.140625" style="6" bestFit="1" customWidth="1"/>
    <col min="10519" max="10752" width="9.140625" style="6"/>
    <col min="10753" max="10754" width="2.28515625" style="6" customWidth="1"/>
    <col min="10755" max="10755" width="24" style="6" customWidth="1"/>
    <col min="10756" max="10756" width="8.7109375" style="6" customWidth="1"/>
    <col min="10757" max="10757" width="10.5703125" style="6" customWidth="1"/>
    <col min="10758" max="10758" width="7.5703125" style="6" customWidth="1"/>
    <col min="10759" max="10759" width="15" style="6" customWidth="1"/>
    <col min="10760" max="10760" width="19.7109375" style="6" customWidth="1"/>
    <col min="10761" max="10761" width="20.7109375" style="6" customWidth="1"/>
    <col min="10762" max="10762" width="16.7109375" style="6" customWidth="1"/>
    <col min="10763" max="10763" width="7.42578125" style="6" customWidth="1"/>
    <col min="10764" max="10764" width="8.85546875" style="6" customWidth="1"/>
    <col min="10765" max="10765" width="14.7109375" style="6" customWidth="1"/>
    <col min="10766" max="10766" width="9.85546875" style="6" customWidth="1"/>
    <col min="10767" max="10767" width="7.85546875" style="6" customWidth="1"/>
    <col min="10768" max="10768" width="7.7109375" style="6" customWidth="1"/>
    <col min="10769" max="10769" width="7.5703125" style="6" customWidth="1"/>
    <col min="10770" max="10770" width="7.42578125" style="6" customWidth="1"/>
    <col min="10771" max="10773" width="9.140625" style="6"/>
    <col min="10774" max="10774" width="10.140625" style="6" bestFit="1" customWidth="1"/>
    <col min="10775" max="11008" width="9.140625" style="6"/>
    <col min="11009" max="11010" width="2.28515625" style="6" customWidth="1"/>
    <col min="11011" max="11011" width="24" style="6" customWidth="1"/>
    <col min="11012" max="11012" width="8.7109375" style="6" customWidth="1"/>
    <col min="11013" max="11013" width="10.5703125" style="6" customWidth="1"/>
    <col min="11014" max="11014" width="7.5703125" style="6" customWidth="1"/>
    <col min="11015" max="11015" width="15" style="6" customWidth="1"/>
    <col min="11016" max="11016" width="19.7109375" style="6" customWidth="1"/>
    <col min="11017" max="11017" width="20.7109375" style="6" customWidth="1"/>
    <col min="11018" max="11018" width="16.7109375" style="6" customWidth="1"/>
    <col min="11019" max="11019" width="7.42578125" style="6" customWidth="1"/>
    <col min="11020" max="11020" width="8.85546875" style="6" customWidth="1"/>
    <col min="11021" max="11021" width="14.7109375" style="6" customWidth="1"/>
    <col min="11022" max="11022" width="9.85546875" style="6" customWidth="1"/>
    <col min="11023" max="11023" width="7.85546875" style="6" customWidth="1"/>
    <col min="11024" max="11024" width="7.7109375" style="6" customWidth="1"/>
    <col min="11025" max="11025" width="7.5703125" style="6" customWidth="1"/>
    <col min="11026" max="11026" width="7.42578125" style="6" customWidth="1"/>
    <col min="11027" max="11029" width="9.140625" style="6"/>
    <col min="11030" max="11030" width="10.140625" style="6" bestFit="1" customWidth="1"/>
    <col min="11031" max="11264" width="9.140625" style="6"/>
    <col min="11265" max="11266" width="2.28515625" style="6" customWidth="1"/>
    <col min="11267" max="11267" width="24" style="6" customWidth="1"/>
    <col min="11268" max="11268" width="8.7109375" style="6" customWidth="1"/>
    <col min="11269" max="11269" width="10.5703125" style="6" customWidth="1"/>
    <col min="11270" max="11270" width="7.5703125" style="6" customWidth="1"/>
    <col min="11271" max="11271" width="15" style="6" customWidth="1"/>
    <col min="11272" max="11272" width="19.7109375" style="6" customWidth="1"/>
    <col min="11273" max="11273" width="20.7109375" style="6" customWidth="1"/>
    <col min="11274" max="11274" width="16.7109375" style="6" customWidth="1"/>
    <col min="11275" max="11275" width="7.42578125" style="6" customWidth="1"/>
    <col min="11276" max="11276" width="8.85546875" style="6" customWidth="1"/>
    <col min="11277" max="11277" width="14.7109375" style="6" customWidth="1"/>
    <col min="11278" max="11278" width="9.85546875" style="6" customWidth="1"/>
    <col min="11279" max="11279" width="7.85546875" style="6" customWidth="1"/>
    <col min="11280" max="11280" width="7.7109375" style="6" customWidth="1"/>
    <col min="11281" max="11281" width="7.5703125" style="6" customWidth="1"/>
    <col min="11282" max="11282" width="7.42578125" style="6" customWidth="1"/>
    <col min="11283" max="11285" width="9.140625" style="6"/>
    <col min="11286" max="11286" width="10.140625" style="6" bestFit="1" customWidth="1"/>
    <col min="11287" max="11520" width="9.140625" style="6"/>
    <col min="11521" max="11522" width="2.28515625" style="6" customWidth="1"/>
    <col min="11523" max="11523" width="24" style="6" customWidth="1"/>
    <col min="11524" max="11524" width="8.7109375" style="6" customWidth="1"/>
    <col min="11525" max="11525" width="10.5703125" style="6" customWidth="1"/>
    <col min="11526" max="11526" width="7.5703125" style="6" customWidth="1"/>
    <col min="11527" max="11527" width="15" style="6" customWidth="1"/>
    <col min="11528" max="11528" width="19.7109375" style="6" customWidth="1"/>
    <col min="11529" max="11529" width="20.7109375" style="6" customWidth="1"/>
    <col min="11530" max="11530" width="16.7109375" style="6" customWidth="1"/>
    <col min="11531" max="11531" width="7.42578125" style="6" customWidth="1"/>
    <col min="11532" max="11532" width="8.85546875" style="6" customWidth="1"/>
    <col min="11533" max="11533" width="14.7109375" style="6" customWidth="1"/>
    <col min="11534" max="11534" width="9.85546875" style="6" customWidth="1"/>
    <col min="11535" max="11535" width="7.85546875" style="6" customWidth="1"/>
    <col min="11536" max="11536" width="7.7109375" style="6" customWidth="1"/>
    <col min="11537" max="11537" width="7.5703125" style="6" customWidth="1"/>
    <col min="11538" max="11538" width="7.42578125" style="6" customWidth="1"/>
    <col min="11539" max="11541" width="9.140625" style="6"/>
    <col min="11542" max="11542" width="10.140625" style="6" bestFit="1" customWidth="1"/>
    <col min="11543" max="11776" width="9.140625" style="6"/>
    <col min="11777" max="11778" width="2.28515625" style="6" customWidth="1"/>
    <col min="11779" max="11779" width="24" style="6" customWidth="1"/>
    <col min="11780" max="11780" width="8.7109375" style="6" customWidth="1"/>
    <col min="11781" max="11781" width="10.5703125" style="6" customWidth="1"/>
    <col min="11782" max="11782" width="7.5703125" style="6" customWidth="1"/>
    <col min="11783" max="11783" width="15" style="6" customWidth="1"/>
    <col min="11784" max="11784" width="19.7109375" style="6" customWidth="1"/>
    <col min="11785" max="11785" width="20.7109375" style="6" customWidth="1"/>
    <col min="11786" max="11786" width="16.7109375" style="6" customWidth="1"/>
    <col min="11787" max="11787" width="7.42578125" style="6" customWidth="1"/>
    <col min="11788" max="11788" width="8.85546875" style="6" customWidth="1"/>
    <col min="11789" max="11789" width="14.7109375" style="6" customWidth="1"/>
    <col min="11790" max="11790" width="9.85546875" style="6" customWidth="1"/>
    <col min="11791" max="11791" width="7.85546875" style="6" customWidth="1"/>
    <col min="11792" max="11792" width="7.7109375" style="6" customWidth="1"/>
    <col min="11793" max="11793" width="7.5703125" style="6" customWidth="1"/>
    <col min="11794" max="11794" width="7.42578125" style="6" customWidth="1"/>
    <col min="11795" max="11797" width="9.140625" style="6"/>
    <col min="11798" max="11798" width="10.140625" style="6" bestFit="1" customWidth="1"/>
    <col min="11799" max="12032" width="9.140625" style="6"/>
    <col min="12033" max="12034" width="2.28515625" style="6" customWidth="1"/>
    <col min="12035" max="12035" width="24" style="6" customWidth="1"/>
    <col min="12036" max="12036" width="8.7109375" style="6" customWidth="1"/>
    <col min="12037" max="12037" width="10.5703125" style="6" customWidth="1"/>
    <col min="12038" max="12038" width="7.5703125" style="6" customWidth="1"/>
    <col min="12039" max="12039" width="15" style="6" customWidth="1"/>
    <col min="12040" max="12040" width="19.7109375" style="6" customWidth="1"/>
    <col min="12041" max="12041" width="20.7109375" style="6" customWidth="1"/>
    <col min="12042" max="12042" width="16.7109375" style="6" customWidth="1"/>
    <col min="12043" max="12043" width="7.42578125" style="6" customWidth="1"/>
    <col min="12044" max="12044" width="8.85546875" style="6" customWidth="1"/>
    <col min="12045" max="12045" width="14.7109375" style="6" customWidth="1"/>
    <col min="12046" max="12046" width="9.85546875" style="6" customWidth="1"/>
    <col min="12047" max="12047" width="7.85546875" style="6" customWidth="1"/>
    <col min="12048" max="12048" width="7.7109375" style="6" customWidth="1"/>
    <col min="12049" max="12049" width="7.5703125" style="6" customWidth="1"/>
    <col min="12050" max="12050" width="7.42578125" style="6" customWidth="1"/>
    <col min="12051" max="12053" width="9.140625" style="6"/>
    <col min="12054" max="12054" width="10.140625" style="6" bestFit="1" customWidth="1"/>
    <col min="12055" max="12288" width="9.140625" style="6"/>
    <col min="12289" max="12290" width="2.28515625" style="6" customWidth="1"/>
    <col min="12291" max="12291" width="24" style="6" customWidth="1"/>
    <col min="12292" max="12292" width="8.7109375" style="6" customWidth="1"/>
    <col min="12293" max="12293" width="10.5703125" style="6" customWidth="1"/>
    <col min="12294" max="12294" width="7.5703125" style="6" customWidth="1"/>
    <col min="12295" max="12295" width="15" style="6" customWidth="1"/>
    <col min="12296" max="12296" width="19.7109375" style="6" customWidth="1"/>
    <col min="12297" max="12297" width="20.7109375" style="6" customWidth="1"/>
    <col min="12298" max="12298" width="16.7109375" style="6" customWidth="1"/>
    <col min="12299" max="12299" width="7.42578125" style="6" customWidth="1"/>
    <col min="12300" max="12300" width="8.85546875" style="6" customWidth="1"/>
    <col min="12301" max="12301" width="14.7109375" style="6" customWidth="1"/>
    <col min="12302" max="12302" width="9.85546875" style="6" customWidth="1"/>
    <col min="12303" max="12303" width="7.85546875" style="6" customWidth="1"/>
    <col min="12304" max="12304" width="7.7109375" style="6" customWidth="1"/>
    <col min="12305" max="12305" width="7.5703125" style="6" customWidth="1"/>
    <col min="12306" max="12306" width="7.42578125" style="6" customWidth="1"/>
    <col min="12307" max="12309" width="9.140625" style="6"/>
    <col min="12310" max="12310" width="10.140625" style="6" bestFit="1" customWidth="1"/>
    <col min="12311" max="12544" width="9.140625" style="6"/>
    <col min="12545" max="12546" width="2.28515625" style="6" customWidth="1"/>
    <col min="12547" max="12547" width="24" style="6" customWidth="1"/>
    <col min="12548" max="12548" width="8.7109375" style="6" customWidth="1"/>
    <col min="12549" max="12549" width="10.5703125" style="6" customWidth="1"/>
    <col min="12550" max="12550" width="7.5703125" style="6" customWidth="1"/>
    <col min="12551" max="12551" width="15" style="6" customWidth="1"/>
    <col min="12552" max="12552" width="19.7109375" style="6" customWidth="1"/>
    <col min="12553" max="12553" width="20.7109375" style="6" customWidth="1"/>
    <col min="12554" max="12554" width="16.7109375" style="6" customWidth="1"/>
    <col min="12555" max="12555" width="7.42578125" style="6" customWidth="1"/>
    <col min="12556" max="12556" width="8.85546875" style="6" customWidth="1"/>
    <col min="12557" max="12557" width="14.7109375" style="6" customWidth="1"/>
    <col min="12558" max="12558" width="9.85546875" style="6" customWidth="1"/>
    <col min="12559" max="12559" width="7.85546875" style="6" customWidth="1"/>
    <col min="12560" max="12560" width="7.7109375" style="6" customWidth="1"/>
    <col min="12561" max="12561" width="7.5703125" style="6" customWidth="1"/>
    <col min="12562" max="12562" width="7.42578125" style="6" customWidth="1"/>
    <col min="12563" max="12565" width="9.140625" style="6"/>
    <col min="12566" max="12566" width="10.140625" style="6" bestFit="1" customWidth="1"/>
    <col min="12567" max="12800" width="9.140625" style="6"/>
    <col min="12801" max="12802" width="2.28515625" style="6" customWidth="1"/>
    <col min="12803" max="12803" width="24" style="6" customWidth="1"/>
    <col min="12804" max="12804" width="8.7109375" style="6" customWidth="1"/>
    <col min="12805" max="12805" width="10.5703125" style="6" customWidth="1"/>
    <col min="12806" max="12806" width="7.5703125" style="6" customWidth="1"/>
    <col min="12807" max="12807" width="15" style="6" customWidth="1"/>
    <col min="12808" max="12808" width="19.7109375" style="6" customWidth="1"/>
    <col min="12809" max="12809" width="20.7109375" style="6" customWidth="1"/>
    <col min="12810" max="12810" width="16.7109375" style="6" customWidth="1"/>
    <col min="12811" max="12811" width="7.42578125" style="6" customWidth="1"/>
    <col min="12812" max="12812" width="8.85546875" style="6" customWidth="1"/>
    <col min="12813" max="12813" width="14.7109375" style="6" customWidth="1"/>
    <col min="12814" max="12814" width="9.85546875" style="6" customWidth="1"/>
    <col min="12815" max="12815" width="7.85546875" style="6" customWidth="1"/>
    <col min="12816" max="12816" width="7.7109375" style="6" customWidth="1"/>
    <col min="12817" max="12817" width="7.5703125" style="6" customWidth="1"/>
    <col min="12818" max="12818" width="7.42578125" style="6" customWidth="1"/>
    <col min="12819" max="12821" width="9.140625" style="6"/>
    <col min="12822" max="12822" width="10.140625" style="6" bestFit="1" customWidth="1"/>
    <col min="12823" max="13056" width="9.140625" style="6"/>
    <col min="13057" max="13058" width="2.28515625" style="6" customWidth="1"/>
    <col min="13059" max="13059" width="24" style="6" customWidth="1"/>
    <col min="13060" max="13060" width="8.7109375" style="6" customWidth="1"/>
    <col min="13061" max="13061" width="10.5703125" style="6" customWidth="1"/>
    <col min="13062" max="13062" width="7.5703125" style="6" customWidth="1"/>
    <col min="13063" max="13063" width="15" style="6" customWidth="1"/>
    <col min="13064" max="13064" width="19.7109375" style="6" customWidth="1"/>
    <col min="13065" max="13065" width="20.7109375" style="6" customWidth="1"/>
    <col min="13066" max="13066" width="16.7109375" style="6" customWidth="1"/>
    <col min="13067" max="13067" width="7.42578125" style="6" customWidth="1"/>
    <col min="13068" max="13068" width="8.85546875" style="6" customWidth="1"/>
    <col min="13069" max="13069" width="14.7109375" style="6" customWidth="1"/>
    <col min="13070" max="13070" width="9.85546875" style="6" customWidth="1"/>
    <col min="13071" max="13071" width="7.85546875" style="6" customWidth="1"/>
    <col min="13072" max="13072" width="7.7109375" style="6" customWidth="1"/>
    <col min="13073" max="13073" width="7.5703125" style="6" customWidth="1"/>
    <col min="13074" max="13074" width="7.42578125" style="6" customWidth="1"/>
    <col min="13075" max="13077" width="9.140625" style="6"/>
    <col min="13078" max="13078" width="10.140625" style="6" bestFit="1" customWidth="1"/>
    <col min="13079" max="13312" width="9.140625" style="6"/>
    <col min="13313" max="13314" width="2.28515625" style="6" customWidth="1"/>
    <col min="13315" max="13315" width="24" style="6" customWidth="1"/>
    <col min="13316" max="13316" width="8.7109375" style="6" customWidth="1"/>
    <col min="13317" max="13317" width="10.5703125" style="6" customWidth="1"/>
    <col min="13318" max="13318" width="7.5703125" style="6" customWidth="1"/>
    <col min="13319" max="13319" width="15" style="6" customWidth="1"/>
    <col min="13320" max="13320" width="19.7109375" style="6" customWidth="1"/>
    <col min="13321" max="13321" width="20.7109375" style="6" customWidth="1"/>
    <col min="13322" max="13322" width="16.7109375" style="6" customWidth="1"/>
    <col min="13323" max="13323" width="7.42578125" style="6" customWidth="1"/>
    <col min="13324" max="13324" width="8.85546875" style="6" customWidth="1"/>
    <col min="13325" max="13325" width="14.7109375" style="6" customWidth="1"/>
    <col min="13326" max="13326" width="9.85546875" style="6" customWidth="1"/>
    <col min="13327" max="13327" width="7.85546875" style="6" customWidth="1"/>
    <col min="13328" max="13328" width="7.7109375" style="6" customWidth="1"/>
    <col min="13329" max="13329" width="7.5703125" style="6" customWidth="1"/>
    <col min="13330" max="13330" width="7.42578125" style="6" customWidth="1"/>
    <col min="13331" max="13333" width="9.140625" style="6"/>
    <col min="13334" max="13334" width="10.140625" style="6" bestFit="1" customWidth="1"/>
    <col min="13335" max="13568" width="9.140625" style="6"/>
    <col min="13569" max="13570" width="2.28515625" style="6" customWidth="1"/>
    <col min="13571" max="13571" width="24" style="6" customWidth="1"/>
    <col min="13572" max="13572" width="8.7109375" style="6" customWidth="1"/>
    <col min="13573" max="13573" width="10.5703125" style="6" customWidth="1"/>
    <col min="13574" max="13574" width="7.5703125" style="6" customWidth="1"/>
    <col min="13575" max="13575" width="15" style="6" customWidth="1"/>
    <col min="13576" max="13576" width="19.7109375" style="6" customWidth="1"/>
    <col min="13577" max="13577" width="20.7109375" style="6" customWidth="1"/>
    <col min="13578" max="13578" width="16.7109375" style="6" customWidth="1"/>
    <col min="13579" max="13579" width="7.42578125" style="6" customWidth="1"/>
    <col min="13580" max="13580" width="8.85546875" style="6" customWidth="1"/>
    <col min="13581" max="13581" width="14.7109375" style="6" customWidth="1"/>
    <col min="13582" max="13582" width="9.85546875" style="6" customWidth="1"/>
    <col min="13583" max="13583" width="7.85546875" style="6" customWidth="1"/>
    <col min="13584" max="13584" width="7.7109375" style="6" customWidth="1"/>
    <col min="13585" max="13585" width="7.5703125" style="6" customWidth="1"/>
    <col min="13586" max="13586" width="7.42578125" style="6" customWidth="1"/>
    <col min="13587" max="13589" width="9.140625" style="6"/>
    <col min="13590" max="13590" width="10.140625" style="6" bestFit="1" customWidth="1"/>
    <col min="13591" max="13824" width="9.140625" style="6"/>
    <col min="13825" max="13826" width="2.28515625" style="6" customWidth="1"/>
    <col min="13827" max="13827" width="24" style="6" customWidth="1"/>
    <col min="13828" max="13828" width="8.7109375" style="6" customWidth="1"/>
    <col min="13829" max="13829" width="10.5703125" style="6" customWidth="1"/>
    <col min="13830" max="13830" width="7.5703125" style="6" customWidth="1"/>
    <col min="13831" max="13831" width="15" style="6" customWidth="1"/>
    <col min="13832" max="13832" width="19.7109375" style="6" customWidth="1"/>
    <col min="13833" max="13833" width="20.7109375" style="6" customWidth="1"/>
    <col min="13834" max="13834" width="16.7109375" style="6" customWidth="1"/>
    <col min="13835" max="13835" width="7.42578125" style="6" customWidth="1"/>
    <col min="13836" max="13836" width="8.85546875" style="6" customWidth="1"/>
    <col min="13837" max="13837" width="14.7109375" style="6" customWidth="1"/>
    <col min="13838" max="13838" width="9.85546875" style="6" customWidth="1"/>
    <col min="13839" max="13839" width="7.85546875" style="6" customWidth="1"/>
    <col min="13840" max="13840" width="7.7109375" style="6" customWidth="1"/>
    <col min="13841" max="13841" width="7.5703125" style="6" customWidth="1"/>
    <col min="13842" max="13842" width="7.42578125" style="6" customWidth="1"/>
    <col min="13843" max="13845" width="9.140625" style="6"/>
    <col min="13846" max="13846" width="10.140625" style="6" bestFit="1" customWidth="1"/>
    <col min="13847" max="14080" width="9.140625" style="6"/>
    <col min="14081" max="14082" width="2.28515625" style="6" customWidth="1"/>
    <col min="14083" max="14083" width="24" style="6" customWidth="1"/>
    <col min="14084" max="14084" width="8.7109375" style="6" customWidth="1"/>
    <col min="14085" max="14085" width="10.5703125" style="6" customWidth="1"/>
    <col min="14086" max="14086" width="7.5703125" style="6" customWidth="1"/>
    <col min="14087" max="14087" width="15" style="6" customWidth="1"/>
    <col min="14088" max="14088" width="19.7109375" style="6" customWidth="1"/>
    <col min="14089" max="14089" width="20.7109375" style="6" customWidth="1"/>
    <col min="14090" max="14090" width="16.7109375" style="6" customWidth="1"/>
    <col min="14091" max="14091" width="7.42578125" style="6" customWidth="1"/>
    <col min="14092" max="14092" width="8.85546875" style="6" customWidth="1"/>
    <col min="14093" max="14093" width="14.7109375" style="6" customWidth="1"/>
    <col min="14094" max="14094" width="9.85546875" style="6" customWidth="1"/>
    <col min="14095" max="14095" width="7.85546875" style="6" customWidth="1"/>
    <col min="14096" max="14096" width="7.7109375" style="6" customWidth="1"/>
    <col min="14097" max="14097" width="7.5703125" style="6" customWidth="1"/>
    <col min="14098" max="14098" width="7.42578125" style="6" customWidth="1"/>
    <col min="14099" max="14101" width="9.140625" style="6"/>
    <col min="14102" max="14102" width="10.140625" style="6" bestFit="1" customWidth="1"/>
    <col min="14103" max="14336" width="9.140625" style="6"/>
    <col min="14337" max="14338" width="2.28515625" style="6" customWidth="1"/>
    <col min="14339" max="14339" width="24" style="6" customWidth="1"/>
    <col min="14340" max="14340" width="8.7109375" style="6" customWidth="1"/>
    <col min="14341" max="14341" width="10.5703125" style="6" customWidth="1"/>
    <col min="14342" max="14342" width="7.5703125" style="6" customWidth="1"/>
    <col min="14343" max="14343" width="15" style="6" customWidth="1"/>
    <col min="14344" max="14344" width="19.7109375" style="6" customWidth="1"/>
    <col min="14345" max="14345" width="20.7109375" style="6" customWidth="1"/>
    <col min="14346" max="14346" width="16.7109375" style="6" customWidth="1"/>
    <col min="14347" max="14347" width="7.42578125" style="6" customWidth="1"/>
    <col min="14348" max="14348" width="8.85546875" style="6" customWidth="1"/>
    <col min="14349" max="14349" width="14.7109375" style="6" customWidth="1"/>
    <col min="14350" max="14350" width="9.85546875" style="6" customWidth="1"/>
    <col min="14351" max="14351" width="7.85546875" style="6" customWidth="1"/>
    <col min="14352" max="14352" width="7.7109375" style="6" customWidth="1"/>
    <col min="14353" max="14353" width="7.5703125" style="6" customWidth="1"/>
    <col min="14354" max="14354" width="7.42578125" style="6" customWidth="1"/>
    <col min="14355" max="14357" width="9.140625" style="6"/>
    <col min="14358" max="14358" width="10.140625" style="6" bestFit="1" customWidth="1"/>
    <col min="14359" max="14592" width="9.140625" style="6"/>
    <col min="14593" max="14594" width="2.28515625" style="6" customWidth="1"/>
    <col min="14595" max="14595" width="24" style="6" customWidth="1"/>
    <col min="14596" max="14596" width="8.7109375" style="6" customWidth="1"/>
    <col min="14597" max="14597" width="10.5703125" style="6" customWidth="1"/>
    <col min="14598" max="14598" width="7.5703125" style="6" customWidth="1"/>
    <col min="14599" max="14599" width="15" style="6" customWidth="1"/>
    <col min="14600" max="14600" width="19.7109375" style="6" customWidth="1"/>
    <col min="14601" max="14601" width="20.7109375" style="6" customWidth="1"/>
    <col min="14602" max="14602" width="16.7109375" style="6" customWidth="1"/>
    <col min="14603" max="14603" width="7.42578125" style="6" customWidth="1"/>
    <col min="14604" max="14604" width="8.85546875" style="6" customWidth="1"/>
    <col min="14605" max="14605" width="14.7109375" style="6" customWidth="1"/>
    <col min="14606" max="14606" width="9.85546875" style="6" customWidth="1"/>
    <col min="14607" max="14607" width="7.85546875" style="6" customWidth="1"/>
    <col min="14608" max="14608" width="7.7109375" style="6" customWidth="1"/>
    <col min="14609" max="14609" width="7.5703125" style="6" customWidth="1"/>
    <col min="14610" max="14610" width="7.42578125" style="6" customWidth="1"/>
    <col min="14611" max="14613" width="9.140625" style="6"/>
    <col min="14614" max="14614" width="10.140625" style="6" bestFit="1" customWidth="1"/>
    <col min="14615" max="14848" width="9.140625" style="6"/>
    <col min="14849" max="14850" width="2.28515625" style="6" customWidth="1"/>
    <col min="14851" max="14851" width="24" style="6" customWidth="1"/>
    <col min="14852" max="14852" width="8.7109375" style="6" customWidth="1"/>
    <col min="14853" max="14853" width="10.5703125" style="6" customWidth="1"/>
    <col min="14854" max="14854" width="7.5703125" style="6" customWidth="1"/>
    <col min="14855" max="14855" width="15" style="6" customWidth="1"/>
    <col min="14856" max="14856" width="19.7109375" style="6" customWidth="1"/>
    <col min="14857" max="14857" width="20.7109375" style="6" customWidth="1"/>
    <col min="14858" max="14858" width="16.7109375" style="6" customWidth="1"/>
    <col min="14859" max="14859" width="7.42578125" style="6" customWidth="1"/>
    <col min="14860" max="14860" width="8.85546875" style="6" customWidth="1"/>
    <col min="14861" max="14861" width="14.7109375" style="6" customWidth="1"/>
    <col min="14862" max="14862" width="9.85546875" style="6" customWidth="1"/>
    <col min="14863" max="14863" width="7.85546875" style="6" customWidth="1"/>
    <col min="14864" max="14864" width="7.7109375" style="6" customWidth="1"/>
    <col min="14865" max="14865" width="7.5703125" style="6" customWidth="1"/>
    <col min="14866" max="14866" width="7.42578125" style="6" customWidth="1"/>
    <col min="14867" max="14869" width="9.140625" style="6"/>
    <col min="14870" max="14870" width="10.140625" style="6" bestFit="1" customWidth="1"/>
    <col min="14871" max="15104" width="9.140625" style="6"/>
    <col min="15105" max="15106" width="2.28515625" style="6" customWidth="1"/>
    <col min="15107" max="15107" width="24" style="6" customWidth="1"/>
    <col min="15108" max="15108" width="8.7109375" style="6" customWidth="1"/>
    <col min="15109" max="15109" width="10.5703125" style="6" customWidth="1"/>
    <col min="15110" max="15110" width="7.5703125" style="6" customWidth="1"/>
    <col min="15111" max="15111" width="15" style="6" customWidth="1"/>
    <col min="15112" max="15112" width="19.7109375" style="6" customWidth="1"/>
    <col min="15113" max="15113" width="20.7109375" style="6" customWidth="1"/>
    <col min="15114" max="15114" width="16.7109375" style="6" customWidth="1"/>
    <col min="15115" max="15115" width="7.42578125" style="6" customWidth="1"/>
    <col min="15116" max="15116" width="8.85546875" style="6" customWidth="1"/>
    <col min="15117" max="15117" width="14.7109375" style="6" customWidth="1"/>
    <col min="15118" max="15118" width="9.85546875" style="6" customWidth="1"/>
    <col min="15119" max="15119" width="7.85546875" style="6" customWidth="1"/>
    <col min="15120" max="15120" width="7.7109375" style="6" customWidth="1"/>
    <col min="15121" max="15121" width="7.5703125" style="6" customWidth="1"/>
    <col min="15122" max="15122" width="7.42578125" style="6" customWidth="1"/>
    <col min="15123" max="15125" width="9.140625" style="6"/>
    <col min="15126" max="15126" width="10.140625" style="6" bestFit="1" customWidth="1"/>
    <col min="15127" max="15360" width="9.140625" style="6"/>
    <col min="15361" max="15362" width="2.28515625" style="6" customWidth="1"/>
    <col min="15363" max="15363" width="24" style="6" customWidth="1"/>
    <col min="15364" max="15364" width="8.7109375" style="6" customWidth="1"/>
    <col min="15365" max="15365" width="10.5703125" style="6" customWidth="1"/>
    <col min="15366" max="15366" width="7.5703125" style="6" customWidth="1"/>
    <col min="15367" max="15367" width="15" style="6" customWidth="1"/>
    <col min="15368" max="15368" width="19.7109375" style="6" customWidth="1"/>
    <col min="15369" max="15369" width="20.7109375" style="6" customWidth="1"/>
    <col min="15370" max="15370" width="16.7109375" style="6" customWidth="1"/>
    <col min="15371" max="15371" width="7.42578125" style="6" customWidth="1"/>
    <col min="15372" max="15372" width="8.85546875" style="6" customWidth="1"/>
    <col min="15373" max="15373" width="14.7109375" style="6" customWidth="1"/>
    <col min="15374" max="15374" width="9.85546875" style="6" customWidth="1"/>
    <col min="15375" max="15375" width="7.85546875" style="6" customWidth="1"/>
    <col min="15376" max="15376" width="7.7109375" style="6" customWidth="1"/>
    <col min="15377" max="15377" width="7.5703125" style="6" customWidth="1"/>
    <col min="15378" max="15378" width="7.42578125" style="6" customWidth="1"/>
    <col min="15379" max="15381" width="9.140625" style="6"/>
    <col min="15382" max="15382" width="10.140625" style="6" bestFit="1" customWidth="1"/>
    <col min="15383" max="15616" width="9.140625" style="6"/>
    <col min="15617" max="15618" width="2.28515625" style="6" customWidth="1"/>
    <col min="15619" max="15619" width="24" style="6" customWidth="1"/>
    <col min="15620" max="15620" width="8.7109375" style="6" customWidth="1"/>
    <col min="15621" max="15621" width="10.5703125" style="6" customWidth="1"/>
    <col min="15622" max="15622" width="7.5703125" style="6" customWidth="1"/>
    <col min="15623" max="15623" width="15" style="6" customWidth="1"/>
    <col min="15624" max="15624" width="19.7109375" style="6" customWidth="1"/>
    <col min="15625" max="15625" width="20.7109375" style="6" customWidth="1"/>
    <col min="15626" max="15626" width="16.7109375" style="6" customWidth="1"/>
    <col min="15627" max="15627" width="7.42578125" style="6" customWidth="1"/>
    <col min="15628" max="15628" width="8.85546875" style="6" customWidth="1"/>
    <col min="15629" max="15629" width="14.7109375" style="6" customWidth="1"/>
    <col min="15630" max="15630" width="9.85546875" style="6" customWidth="1"/>
    <col min="15631" max="15631" width="7.85546875" style="6" customWidth="1"/>
    <col min="15632" max="15632" width="7.7109375" style="6" customWidth="1"/>
    <col min="15633" max="15633" width="7.5703125" style="6" customWidth="1"/>
    <col min="15634" max="15634" width="7.42578125" style="6" customWidth="1"/>
    <col min="15635" max="15637" width="9.140625" style="6"/>
    <col min="15638" max="15638" width="10.140625" style="6" bestFit="1" customWidth="1"/>
    <col min="15639" max="15872" width="9.140625" style="6"/>
    <col min="15873" max="15874" width="2.28515625" style="6" customWidth="1"/>
    <col min="15875" max="15875" width="24" style="6" customWidth="1"/>
    <col min="15876" max="15876" width="8.7109375" style="6" customWidth="1"/>
    <col min="15877" max="15877" width="10.5703125" style="6" customWidth="1"/>
    <col min="15878" max="15878" width="7.5703125" style="6" customWidth="1"/>
    <col min="15879" max="15879" width="15" style="6" customWidth="1"/>
    <col min="15880" max="15880" width="19.7109375" style="6" customWidth="1"/>
    <col min="15881" max="15881" width="20.7109375" style="6" customWidth="1"/>
    <col min="15882" max="15882" width="16.7109375" style="6" customWidth="1"/>
    <col min="15883" max="15883" width="7.42578125" style="6" customWidth="1"/>
    <col min="15884" max="15884" width="8.85546875" style="6" customWidth="1"/>
    <col min="15885" max="15885" width="14.7109375" style="6" customWidth="1"/>
    <col min="15886" max="15886" width="9.85546875" style="6" customWidth="1"/>
    <col min="15887" max="15887" width="7.85546875" style="6" customWidth="1"/>
    <col min="15888" max="15888" width="7.7109375" style="6" customWidth="1"/>
    <col min="15889" max="15889" width="7.5703125" style="6" customWidth="1"/>
    <col min="15890" max="15890" width="7.42578125" style="6" customWidth="1"/>
    <col min="15891" max="15893" width="9.140625" style="6"/>
    <col min="15894" max="15894" width="10.140625" style="6" bestFit="1" customWidth="1"/>
    <col min="15895" max="16128" width="9.140625" style="6"/>
    <col min="16129" max="16130" width="2.28515625" style="6" customWidth="1"/>
    <col min="16131" max="16131" width="24" style="6" customWidth="1"/>
    <col min="16132" max="16132" width="8.7109375" style="6" customWidth="1"/>
    <col min="16133" max="16133" width="10.5703125" style="6" customWidth="1"/>
    <col min="16134" max="16134" width="7.5703125" style="6" customWidth="1"/>
    <col min="16135" max="16135" width="15" style="6" customWidth="1"/>
    <col min="16136" max="16136" width="19.7109375" style="6" customWidth="1"/>
    <col min="16137" max="16137" width="20.7109375" style="6" customWidth="1"/>
    <col min="16138" max="16138" width="16.7109375" style="6" customWidth="1"/>
    <col min="16139" max="16139" width="7.42578125" style="6" customWidth="1"/>
    <col min="16140" max="16140" width="8.85546875" style="6" customWidth="1"/>
    <col min="16141" max="16141" width="14.7109375" style="6" customWidth="1"/>
    <col min="16142" max="16142" width="9.85546875" style="6" customWidth="1"/>
    <col min="16143" max="16143" width="7.85546875" style="6" customWidth="1"/>
    <col min="16144" max="16144" width="7.7109375" style="6" customWidth="1"/>
    <col min="16145" max="16145" width="7.5703125" style="6" customWidth="1"/>
    <col min="16146" max="16146" width="7.42578125" style="6" customWidth="1"/>
    <col min="16147" max="16149" width="9.140625" style="6"/>
    <col min="16150" max="16150" width="10.140625" style="6" bestFit="1" customWidth="1"/>
    <col min="16151" max="16384" width="9.140625" style="6"/>
  </cols>
  <sheetData>
    <row r="1" spans="1:15" x14ac:dyDescent="0.2">
      <c r="A1" s="713" t="s">
        <v>625</v>
      </c>
      <c r="B1" s="676"/>
      <c r="C1" s="676"/>
      <c r="D1" s="676"/>
      <c r="E1" s="676"/>
      <c r="F1" s="676"/>
      <c r="G1" s="676"/>
      <c r="H1" s="676"/>
      <c r="I1" s="676"/>
      <c r="J1" s="676"/>
      <c r="K1" s="676"/>
      <c r="L1" s="676"/>
      <c r="M1" s="676"/>
    </row>
    <row r="2" spans="1:15" ht="1.5" customHeight="1" thickBot="1" x14ac:dyDescent="0.25"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s="2" customFormat="1" ht="55.5" customHeight="1" thickTop="1" thickBot="1" x14ac:dyDescent="0.3">
      <c r="A3" s="135" t="s">
        <v>36</v>
      </c>
      <c r="B3" s="136"/>
      <c r="C3" s="137"/>
      <c r="D3" s="138" t="s">
        <v>37</v>
      </c>
      <c r="E3" s="139" t="s">
        <v>38</v>
      </c>
      <c r="F3" s="139" t="s">
        <v>39</v>
      </c>
      <c r="G3" s="139" t="s">
        <v>40</v>
      </c>
      <c r="H3" s="139" t="s">
        <v>41</v>
      </c>
      <c r="I3" s="140" t="s">
        <v>42</v>
      </c>
      <c r="J3" s="140" t="s">
        <v>43</v>
      </c>
      <c r="K3" s="139" t="s">
        <v>44</v>
      </c>
      <c r="L3" s="139" t="s">
        <v>45</v>
      </c>
      <c r="M3" s="141" t="s">
        <v>46</v>
      </c>
      <c r="N3" s="142" t="s">
        <v>47</v>
      </c>
    </row>
    <row r="4" spans="1:15" ht="12.75" customHeight="1" thickTop="1" thickBot="1" x14ac:dyDescent="0.25">
      <c r="A4" s="705" t="s">
        <v>6</v>
      </c>
      <c r="B4" s="706"/>
      <c r="C4" s="706"/>
      <c r="D4" s="706"/>
      <c r="E4" s="706"/>
      <c r="F4" s="706"/>
      <c r="G4" s="706"/>
      <c r="H4" s="706"/>
      <c r="I4" s="706"/>
      <c r="J4" s="706"/>
      <c r="K4" s="706"/>
      <c r="L4" s="706"/>
      <c r="M4" s="706"/>
      <c r="N4" s="707"/>
    </row>
    <row r="5" spans="1:15" ht="12.75" customHeight="1" x14ac:dyDescent="0.2">
      <c r="A5" s="143" t="s">
        <v>48</v>
      </c>
      <c r="B5" s="144"/>
      <c r="C5" s="145"/>
      <c r="D5" s="146">
        <v>237452</v>
      </c>
      <c r="E5" s="147">
        <v>105000</v>
      </c>
      <c r="F5" s="148">
        <f>+D5/E5</f>
        <v>2.2614476190476189</v>
      </c>
      <c r="G5" s="147">
        <v>192616</v>
      </c>
      <c r="H5" s="149">
        <v>94367</v>
      </c>
      <c r="I5" s="150">
        <f>+G5/D5</f>
        <v>0.81117868032275997</v>
      </c>
      <c r="J5" s="150">
        <f>+H5/E5</f>
        <v>0.89873333333333338</v>
      </c>
      <c r="K5" s="147">
        <v>54676</v>
      </c>
      <c r="L5" s="147">
        <v>52527</v>
      </c>
      <c r="M5" s="150">
        <f>+K5/E5</f>
        <v>0.52072380952380948</v>
      </c>
      <c r="N5" s="151">
        <f>K5/H5</f>
        <v>0.57939745885743954</v>
      </c>
    </row>
    <row r="6" spans="1:15" ht="12.75" customHeight="1" x14ac:dyDescent="0.2">
      <c r="A6" s="686" t="s">
        <v>49</v>
      </c>
      <c r="B6" s="689" t="s">
        <v>50</v>
      </c>
      <c r="C6" s="690"/>
      <c r="D6" s="152">
        <v>205170</v>
      </c>
      <c r="E6" s="153">
        <v>82297</v>
      </c>
      <c r="F6" s="154">
        <f t="shared" ref="F6:F11" si="0">+D6/E6</f>
        <v>2.4930434888270532</v>
      </c>
      <c r="G6" s="153">
        <v>166679</v>
      </c>
      <c r="H6" s="155">
        <v>74620</v>
      </c>
      <c r="I6" s="156">
        <f t="shared" ref="I6:J11" si="1">+G6/D6</f>
        <v>0.81239459960033145</v>
      </c>
      <c r="J6" s="156">
        <f t="shared" si="1"/>
        <v>0.90671591917080818</v>
      </c>
      <c r="K6" s="153">
        <v>45349</v>
      </c>
      <c r="L6" s="153">
        <v>43529</v>
      </c>
      <c r="M6" s="156">
        <f t="shared" ref="M6:M11" si="2">+K6/E6</f>
        <v>0.55104074267591774</v>
      </c>
      <c r="N6" s="157">
        <f t="shared" ref="N6:N11" si="3">K6/H6</f>
        <v>0.607732511391048</v>
      </c>
    </row>
    <row r="7" spans="1:15" ht="12.75" customHeight="1" x14ac:dyDescent="0.2">
      <c r="A7" s="687"/>
      <c r="B7" s="691" t="s">
        <v>49</v>
      </c>
      <c r="C7" s="158" t="s">
        <v>51</v>
      </c>
      <c r="D7" s="159">
        <v>58921</v>
      </c>
      <c r="E7" s="160">
        <v>39750</v>
      </c>
      <c r="F7" s="161">
        <f t="shared" si="0"/>
        <v>1.4822893081761006</v>
      </c>
      <c r="G7" s="160">
        <v>48418</v>
      </c>
      <c r="H7" s="162">
        <v>34331</v>
      </c>
      <c r="I7" s="163">
        <f t="shared" si="1"/>
        <v>0.82174436957960661</v>
      </c>
      <c r="J7" s="163">
        <f t="shared" si="1"/>
        <v>0.86367295597484273</v>
      </c>
      <c r="K7" s="160">
        <v>15850</v>
      </c>
      <c r="L7" s="160">
        <v>12744</v>
      </c>
      <c r="M7" s="163">
        <f t="shared" si="2"/>
        <v>0.3987421383647799</v>
      </c>
      <c r="N7" s="164">
        <f t="shared" si="3"/>
        <v>0.46168186187410792</v>
      </c>
    </row>
    <row r="8" spans="1:15" ht="12.75" customHeight="1" x14ac:dyDescent="0.2">
      <c r="A8" s="687"/>
      <c r="B8" s="692"/>
      <c r="C8" s="165" t="s">
        <v>52</v>
      </c>
      <c r="D8" s="166">
        <v>146249</v>
      </c>
      <c r="E8" s="167">
        <v>67509</v>
      </c>
      <c r="F8" s="168">
        <f t="shared" si="0"/>
        <v>2.1663630034513917</v>
      </c>
      <c r="G8" s="167">
        <v>118261</v>
      </c>
      <c r="H8" s="169">
        <v>60720</v>
      </c>
      <c r="I8" s="170">
        <f t="shared" si="1"/>
        <v>0.80862775130086362</v>
      </c>
      <c r="J8" s="170">
        <f t="shared" si="1"/>
        <v>0.89943563080478162</v>
      </c>
      <c r="K8" s="167">
        <v>34468</v>
      </c>
      <c r="L8" s="167">
        <v>31938</v>
      </c>
      <c r="M8" s="170">
        <f t="shared" si="2"/>
        <v>0.51056896117554695</v>
      </c>
      <c r="N8" s="171">
        <f t="shared" si="3"/>
        <v>0.56765480895915676</v>
      </c>
    </row>
    <row r="9" spans="1:15" ht="12.75" customHeight="1" x14ac:dyDescent="0.2">
      <c r="A9" s="687"/>
      <c r="B9" s="689" t="s">
        <v>53</v>
      </c>
      <c r="C9" s="690"/>
      <c r="D9" s="152">
        <v>32282</v>
      </c>
      <c r="E9" s="153">
        <v>26640</v>
      </c>
      <c r="F9" s="154">
        <f t="shared" si="0"/>
        <v>1.2117867867867869</v>
      </c>
      <c r="G9" s="153">
        <v>25937</v>
      </c>
      <c r="H9" s="155">
        <v>22249</v>
      </c>
      <c r="I9" s="156">
        <f t="shared" si="1"/>
        <v>0.80345083947710794</v>
      </c>
      <c r="J9" s="156">
        <f t="shared" si="1"/>
        <v>0.8351726726726727</v>
      </c>
      <c r="K9" s="153">
        <v>9852</v>
      </c>
      <c r="L9" s="153">
        <v>9204</v>
      </c>
      <c r="M9" s="156">
        <f t="shared" si="2"/>
        <v>0.36981981981981982</v>
      </c>
      <c r="N9" s="157">
        <f t="shared" si="3"/>
        <v>0.44280641826598949</v>
      </c>
    </row>
    <row r="10" spans="1:15" ht="12.75" customHeight="1" x14ac:dyDescent="0.2">
      <c r="A10" s="687"/>
      <c r="B10" s="691" t="s">
        <v>49</v>
      </c>
      <c r="C10" s="158" t="s">
        <v>51</v>
      </c>
      <c r="D10" s="159">
        <v>21699</v>
      </c>
      <c r="E10" s="160">
        <v>18487</v>
      </c>
      <c r="F10" s="161">
        <f t="shared" si="0"/>
        <v>1.1737437117974794</v>
      </c>
      <c r="G10" s="160">
        <v>17462</v>
      </c>
      <c r="H10" s="162">
        <v>15639</v>
      </c>
      <c r="I10" s="163">
        <f t="shared" si="1"/>
        <v>0.80473754550900967</v>
      </c>
      <c r="J10" s="163">
        <f t="shared" si="1"/>
        <v>0.84594579975117645</v>
      </c>
      <c r="K10" s="160">
        <v>6442</v>
      </c>
      <c r="L10" s="160">
        <v>5942</v>
      </c>
      <c r="M10" s="163">
        <f t="shared" si="2"/>
        <v>0.34846108075945259</v>
      </c>
      <c r="N10" s="164">
        <f t="shared" si="3"/>
        <v>0.41191892064710017</v>
      </c>
    </row>
    <row r="11" spans="1:15" ht="12.75" customHeight="1" thickBot="1" x14ac:dyDescent="0.25">
      <c r="A11" s="704"/>
      <c r="B11" s="712"/>
      <c r="C11" s="172" t="s">
        <v>52</v>
      </c>
      <c r="D11" s="173">
        <v>10583</v>
      </c>
      <c r="E11" s="174">
        <v>9545</v>
      </c>
      <c r="F11" s="175">
        <f t="shared" si="0"/>
        <v>1.1087480356207438</v>
      </c>
      <c r="G11" s="174">
        <v>8475</v>
      </c>
      <c r="H11" s="176">
        <v>7866</v>
      </c>
      <c r="I11" s="177">
        <f t="shared" si="1"/>
        <v>0.80081262401965414</v>
      </c>
      <c r="J11" s="177">
        <f t="shared" si="1"/>
        <v>0.82409638554216869</v>
      </c>
      <c r="K11" s="174">
        <v>3562</v>
      </c>
      <c r="L11" s="174">
        <v>3299</v>
      </c>
      <c r="M11" s="177">
        <f t="shared" si="2"/>
        <v>0.37317967522262963</v>
      </c>
      <c r="N11" s="178">
        <f t="shared" si="3"/>
        <v>0.45283498601576405</v>
      </c>
    </row>
    <row r="12" spans="1:15" ht="12.75" customHeight="1" thickBot="1" x14ac:dyDescent="0.25">
      <c r="A12" s="701" t="s">
        <v>7</v>
      </c>
      <c r="B12" s="702"/>
      <c r="C12" s="702"/>
      <c r="D12" s="702"/>
      <c r="E12" s="702"/>
      <c r="F12" s="702"/>
      <c r="G12" s="702"/>
      <c r="H12" s="702"/>
      <c r="I12" s="702"/>
      <c r="J12" s="702"/>
      <c r="K12" s="702"/>
      <c r="L12" s="702"/>
      <c r="M12" s="702"/>
      <c r="N12" s="703"/>
      <c r="O12" s="37"/>
    </row>
    <row r="13" spans="1:15" ht="12.75" customHeight="1" x14ac:dyDescent="0.2">
      <c r="A13" s="143" t="s">
        <v>48</v>
      </c>
      <c r="B13" s="144"/>
      <c r="C13" s="145"/>
      <c r="D13" s="146">
        <v>234026</v>
      </c>
      <c r="E13" s="147">
        <v>108848</v>
      </c>
      <c r="F13" s="148">
        <f t="shared" ref="F13:F19" si="4">D13/E13</f>
        <v>2.1500257239453182</v>
      </c>
      <c r="G13" s="147">
        <v>191809</v>
      </c>
      <c r="H13" s="149">
        <v>98337</v>
      </c>
      <c r="I13" s="150">
        <f t="shared" ref="I13:I19" si="5">G13/D13</f>
        <v>0.81960551391725711</v>
      </c>
      <c r="J13" s="150">
        <f>+H13/E13</f>
        <v>0.90343414669998534</v>
      </c>
      <c r="K13" s="147">
        <v>61077</v>
      </c>
      <c r="L13" s="147">
        <v>58342</v>
      </c>
      <c r="M13" s="150">
        <f t="shared" ref="M13:M19" si="6">K13/E13</f>
        <v>0.56112193150080847</v>
      </c>
      <c r="N13" s="151">
        <v>0.62109887427926413</v>
      </c>
      <c r="O13" s="37"/>
    </row>
    <row r="14" spans="1:15" ht="12.75" customHeight="1" x14ac:dyDescent="0.2">
      <c r="A14" s="686" t="s">
        <v>49</v>
      </c>
      <c r="B14" s="689" t="s">
        <v>50</v>
      </c>
      <c r="C14" s="690"/>
      <c r="D14" s="152">
        <v>198393</v>
      </c>
      <c r="E14" s="153">
        <v>83674</v>
      </c>
      <c r="F14" s="154">
        <f t="shared" si="4"/>
        <v>2.3710232569256879</v>
      </c>
      <c r="G14" s="153">
        <v>162489</v>
      </c>
      <c r="H14" s="155">
        <v>76306</v>
      </c>
      <c r="I14" s="156">
        <f t="shared" si="5"/>
        <v>0.81902587288866036</v>
      </c>
      <c r="J14" s="156">
        <f t="shared" ref="J14:J19" si="7">+H14/E14</f>
        <v>0.91194397303821972</v>
      </c>
      <c r="K14" s="153">
        <v>49877</v>
      </c>
      <c r="L14" s="153">
        <v>47684</v>
      </c>
      <c r="M14" s="156">
        <f t="shared" si="6"/>
        <v>0.59608719554461365</v>
      </c>
      <c r="N14" s="157">
        <v>0.65364453647157494</v>
      </c>
    </row>
    <row r="15" spans="1:15" ht="12.75" customHeight="1" x14ac:dyDescent="0.2">
      <c r="A15" s="687"/>
      <c r="B15" s="691" t="s">
        <v>49</v>
      </c>
      <c r="C15" s="158" t="s">
        <v>51</v>
      </c>
      <c r="D15" s="159">
        <v>77180</v>
      </c>
      <c r="E15" s="160">
        <v>50322</v>
      </c>
      <c r="F15" s="161">
        <f t="shared" si="4"/>
        <v>1.5337228250069552</v>
      </c>
      <c r="G15" s="160">
        <v>64201</v>
      </c>
      <c r="H15" s="162">
        <v>44167</v>
      </c>
      <c r="I15" s="163">
        <f t="shared" si="5"/>
        <v>0.83183467219486917</v>
      </c>
      <c r="J15" s="163">
        <f t="shared" si="7"/>
        <v>0.87768769126823254</v>
      </c>
      <c r="K15" s="160">
        <v>24946</v>
      </c>
      <c r="L15" s="160">
        <v>20431</v>
      </c>
      <c r="M15" s="163">
        <f t="shared" si="6"/>
        <v>0.49572751480465799</v>
      </c>
      <c r="N15" s="164">
        <v>0.56481083161636514</v>
      </c>
    </row>
    <row r="16" spans="1:15" ht="12.75" customHeight="1" x14ac:dyDescent="0.2">
      <c r="A16" s="687"/>
      <c r="B16" s="692"/>
      <c r="C16" s="165" t="s">
        <v>52</v>
      </c>
      <c r="D16" s="166">
        <v>121213</v>
      </c>
      <c r="E16" s="167">
        <v>61248</v>
      </c>
      <c r="F16" s="168">
        <f t="shared" si="4"/>
        <v>1.9790523772204807</v>
      </c>
      <c r="G16" s="167">
        <v>98288</v>
      </c>
      <c r="H16" s="169">
        <v>54602</v>
      </c>
      <c r="I16" s="170">
        <f t="shared" si="5"/>
        <v>0.81087012119162138</v>
      </c>
      <c r="J16" s="170">
        <f t="shared" si="7"/>
        <v>0.89149033437826541</v>
      </c>
      <c r="K16" s="167">
        <v>32705</v>
      </c>
      <c r="L16" s="167">
        <v>29181</v>
      </c>
      <c r="M16" s="170">
        <f t="shared" si="6"/>
        <v>0.53397661964472309</v>
      </c>
      <c r="N16" s="171">
        <v>0.33274662217157741</v>
      </c>
    </row>
    <row r="17" spans="1:14" ht="12.75" customHeight="1" x14ac:dyDescent="0.2">
      <c r="A17" s="687"/>
      <c r="B17" s="689" t="s">
        <v>53</v>
      </c>
      <c r="C17" s="690"/>
      <c r="D17" s="152">
        <v>35633</v>
      </c>
      <c r="E17" s="153">
        <v>29328</v>
      </c>
      <c r="F17" s="154">
        <f t="shared" si="4"/>
        <v>1.2149822695035462</v>
      </c>
      <c r="G17" s="153">
        <v>29320</v>
      </c>
      <c r="H17" s="155">
        <v>29320</v>
      </c>
      <c r="I17" s="156">
        <f t="shared" si="5"/>
        <v>0.8228327673785536</v>
      </c>
      <c r="J17" s="156">
        <f t="shared" si="7"/>
        <v>0.99972722313147844</v>
      </c>
      <c r="K17" s="153">
        <v>11874</v>
      </c>
      <c r="L17" s="153">
        <v>10955</v>
      </c>
      <c r="M17" s="156">
        <f t="shared" si="6"/>
        <v>0.40486906710310966</v>
      </c>
      <c r="N17" s="157">
        <v>0.40497953615279675</v>
      </c>
    </row>
    <row r="18" spans="1:14" ht="12.75" customHeight="1" x14ac:dyDescent="0.2">
      <c r="A18" s="687"/>
      <c r="B18" s="691" t="s">
        <v>49</v>
      </c>
      <c r="C18" s="158" t="s">
        <v>51</v>
      </c>
      <c r="D18" s="159">
        <v>26211</v>
      </c>
      <c r="E18" s="160">
        <v>22278</v>
      </c>
      <c r="F18" s="161">
        <f t="shared" si="4"/>
        <v>1.1765418798814975</v>
      </c>
      <c r="G18" s="160">
        <v>21805</v>
      </c>
      <c r="H18" s="162">
        <v>19150</v>
      </c>
      <c r="I18" s="163">
        <f t="shared" si="5"/>
        <v>0.83190263629773764</v>
      </c>
      <c r="J18" s="163">
        <f t="shared" si="7"/>
        <v>0.85959242301822425</v>
      </c>
      <c r="K18" s="160">
        <v>8743</v>
      </c>
      <c r="L18" s="160">
        <v>8008</v>
      </c>
      <c r="M18" s="163">
        <f t="shared" si="6"/>
        <v>0.39244995062393395</v>
      </c>
      <c r="N18" s="164">
        <v>0.40096308186195828</v>
      </c>
    </row>
    <row r="19" spans="1:14" ht="12.75" customHeight="1" thickBot="1" x14ac:dyDescent="0.25">
      <c r="A19" s="704"/>
      <c r="B19" s="712"/>
      <c r="C19" s="172" t="s">
        <v>52</v>
      </c>
      <c r="D19" s="173">
        <v>9421</v>
      </c>
      <c r="E19" s="174">
        <v>8556</v>
      </c>
      <c r="F19" s="175">
        <f t="shared" si="4"/>
        <v>1.101098644226274</v>
      </c>
      <c r="G19" s="174">
        <v>7515</v>
      </c>
      <c r="H19" s="176">
        <v>6942</v>
      </c>
      <c r="I19" s="177">
        <f t="shared" si="5"/>
        <v>0.79768602059229377</v>
      </c>
      <c r="J19" s="177">
        <f t="shared" si="7"/>
        <v>0.81136044880785418</v>
      </c>
      <c r="K19" s="174">
        <v>3278</v>
      </c>
      <c r="L19" s="174">
        <v>2991</v>
      </c>
      <c r="M19" s="177">
        <f t="shared" si="6"/>
        <v>0.38312295465170643</v>
      </c>
      <c r="N19" s="178">
        <v>0.436252328985893</v>
      </c>
    </row>
    <row r="20" spans="1:14" ht="12.75" customHeight="1" thickBot="1" x14ac:dyDescent="0.25">
      <c r="A20" s="701" t="s">
        <v>8</v>
      </c>
      <c r="B20" s="702"/>
      <c r="C20" s="702"/>
      <c r="D20" s="702"/>
      <c r="E20" s="702"/>
      <c r="F20" s="702"/>
      <c r="G20" s="702"/>
      <c r="H20" s="702"/>
      <c r="I20" s="702"/>
      <c r="J20" s="702"/>
      <c r="K20" s="702"/>
      <c r="L20" s="702"/>
      <c r="M20" s="702"/>
      <c r="N20" s="703"/>
    </row>
    <row r="21" spans="1:14" ht="12.75" customHeight="1" x14ac:dyDescent="0.2">
      <c r="A21" s="143" t="s">
        <v>48</v>
      </c>
      <c r="B21" s="144"/>
      <c r="C21" s="145"/>
      <c r="D21" s="146">
        <v>253273</v>
      </c>
      <c r="E21" s="147">
        <v>117544</v>
      </c>
      <c r="F21" s="148">
        <f>D21/E21</f>
        <v>2.1547080242292247</v>
      </c>
      <c r="G21" s="147">
        <v>209436</v>
      </c>
      <c r="H21" s="149">
        <v>107169</v>
      </c>
      <c r="I21" s="150">
        <f>G21/D21</f>
        <v>0.826917989679121</v>
      </c>
      <c r="J21" s="150">
        <f>+H21/E21</f>
        <v>0.91173518001769549</v>
      </c>
      <c r="K21" s="147">
        <v>69582</v>
      </c>
      <c r="L21" s="147">
        <v>66517</v>
      </c>
      <c r="M21" s="150">
        <f>K21/E21</f>
        <v>0.59196556183216498</v>
      </c>
      <c r="N21" s="151">
        <v>0.64927357724715173</v>
      </c>
    </row>
    <row r="22" spans="1:14" ht="12.75" customHeight="1" x14ac:dyDescent="0.2">
      <c r="A22" s="686" t="s">
        <v>49</v>
      </c>
      <c r="B22" s="689" t="s">
        <v>50</v>
      </c>
      <c r="C22" s="690"/>
      <c r="D22" s="152">
        <v>216092</v>
      </c>
      <c r="E22" s="153">
        <v>91166</v>
      </c>
      <c r="F22" s="154">
        <f t="shared" ref="F22:F27" si="8">D22/E22</f>
        <v>2.37031349406577</v>
      </c>
      <c r="G22" s="153">
        <v>178490</v>
      </c>
      <c r="H22" s="155">
        <v>83894</v>
      </c>
      <c r="I22" s="156">
        <f t="shared" ref="I22:I27" si="9">G22/D22</f>
        <v>0.82599078170408902</v>
      </c>
      <c r="J22" s="156">
        <f t="shared" ref="J22:J27" si="10">+H22/E22</f>
        <v>0.9202334203540794</v>
      </c>
      <c r="K22" s="153">
        <v>56930</v>
      </c>
      <c r="L22" s="153">
        <v>54329</v>
      </c>
      <c r="M22" s="156">
        <f t="shared" ref="M22:M27" si="11">K22/E22</f>
        <v>0.62446526117192813</v>
      </c>
      <c r="N22" s="157">
        <v>0.67859441676401178</v>
      </c>
    </row>
    <row r="23" spans="1:14" ht="12.75" customHeight="1" x14ac:dyDescent="0.2">
      <c r="A23" s="687"/>
      <c r="B23" s="691" t="s">
        <v>49</v>
      </c>
      <c r="C23" s="158" t="s">
        <v>51</v>
      </c>
      <c r="D23" s="159">
        <v>122985</v>
      </c>
      <c r="E23" s="160">
        <v>69258</v>
      </c>
      <c r="F23" s="161">
        <f t="shared" si="8"/>
        <v>1.7757515377284934</v>
      </c>
      <c r="G23" s="160">
        <v>101510</v>
      </c>
      <c r="H23" s="162">
        <v>62211</v>
      </c>
      <c r="I23" s="163">
        <f t="shared" si="9"/>
        <v>0.82538520957840389</v>
      </c>
      <c r="J23" s="163">
        <f t="shared" si="10"/>
        <v>0.89825002165814782</v>
      </c>
      <c r="K23" s="160">
        <v>39130</v>
      </c>
      <c r="L23" s="160">
        <v>33296</v>
      </c>
      <c r="M23" s="163">
        <f t="shared" si="11"/>
        <v>0.56498888215079845</v>
      </c>
      <c r="N23" s="164">
        <v>0.62898844255839004</v>
      </c>
    </row>
    <row r="24" spans="1:14" ht="12.75" customHeight="1" x14ac:dyDescent="0.2">
      <c r="A24" s="687"/>
      <c r="B24" s="692"/>
      <c r="C24" s="165" t="s">
        <v>52</v>
      </c>
      <c r="D24" s="166">
        <v>93107</v>
      </c>
      <c r="E24" s="167">
        <v>52057</v>
      </c>
      <c r="F24" s="168">
        <f t="shared" si="8"/>
        <v>1.7885586952763317</v>
      </c>
      <c r="G24" s="167">
        <v>76980</v>
      </c>
      <c r="H24" s="169">
        <v>46402</v>
      </c>
      <c r="I24" s="170">
        <f t="shared" si="9"/>
        <v>0.82679068168880965</v>
      </c>
      <c r="J24" s="170">
        <f t="shared" si="10"/>
        <v>0.89136907620492922</v>
      </c>
      <c r="K24" s="167">
        <v>26368</v>
      </c>
      <c r="L24" s="167">
        <v>22313</v>
      </c>
      <c r="M24" s="170">
        <f t="shared" si="11"/>
        <v>0.50652169737019037</v>
      </c>
      <c r="N24" s="171">
        <v>0.56825136847549673</v>
      </c>
    </row>
    <row r="25" spans="1:14" ht="12.75" customHeight="1" x14ac:dyDescent="0.2">
      <c r="A25" s="687"/>
      <c r="B25" s="689" t="s">
        <v>53</v>
      </c>
      <c r="C25" s="690"/>
      <c r="D25" s="152">
        <v>37181</v>
      </c>
      <c r="E25" s="153">
        <v>30806</v>
      </c>
      <c r="F25" s="154">
        <f t="shared" si="8"/>
        <v>1.2069402064532884</v>
      </c>
      <c r="G25" s="153">
        <v>30946</v>
      </c>
      <c r="H25" s="155">
        <v>26589</v>
      </c>
      <c r="I25" s="156">
        <f t="shared" si="9"/>
        <v>0.83230682337753148</v>
      </c>
      <c r="J25" s="156">
        <f t="shared" si="10"/>
        <v>0.86311108225670319</v>
      </c>
      <c r="K25" s="153">
        <v>13445</v>
      </c>
      <c r="L25" s="153">
        <v>12530</v>
      </c>
      <c r="M25" s="156">
        <f t="shared" si="11"/>
        <v>0.43644095306109199</v>
      </c>
      <c r="N25" s="157">
        <v>0.50566023543570648</v>
      </c>
    </row>
    <row r="26" spans="1:14" ht="12.75" customHeight="1" x14ac:dyDescent="0.2">
      <c r="A26" s="687"/>
      <c r="B26" s="691" t="s">
        <v>49</v>
      </c>
      <c r="C26" s="158" t="s">
        <v>51</v>
      </c>
      <c r="D26" s="159">
        <v>31188</v>
      </c>
      <c r="E26" s="160">
        <v>26434</v>
      </c>
      <c r="F26" s="161">
        <f t="shared" si="8"/>
        <v>1.1798441401225694</v>
      </c>
      <c r="G26" s="160">
        <v>26164</v>
      </c>
      <c r="H26" s="162">
        <v>22845</v>
      </c>
      <c r="I26" s="163">
        <f t="shared" si="9"/>
        <v>0.83891240220597663</v>
      </c>
      <c r="J26" s="163">
        <f t="shared" si="10"/>
        <v>0.86422788832564124</v>
      </c>
      <c r="K26" s="160">
        <v>11180</v>
      </c>
      <c r="L26" s="160">
        <v>10310</v>
      </c>
      <c r="M26" s="163">
        <f t="shared" si="11"/>
        <v>0.42294015283347203</v>
      </c>
      <c r="N26" s="164">
        <v>0.48938498577369227</v>
      </c>
    </row>
    <row r="27" spans="1:14" ht="12.75" customHeight="1" thickBot="1" x14ac:dyDescent="0.25">
      <c r="A27" s="704"/>
      <c r="B27" s="712"/>
      <c r="C27" s="172" t="s">
        <v>52</v>
      </c>
      <c r="D27" s="173">
        <v>5993</v>
      </c>
      <c r="E27" s="174">
        <v>5595</v>
      </c>
      <c r="F27" s="175">
        <f t="shared" si="8"/>
        <v>1.0711349419124219</v>
      </c>
      <c r="G27" s="174">
        <v>4782</v>
      </c>
      <c r="H27" s="176">
        <v>4546</v>
      </c>
      <c r="I27" s="177">
        <f t="shared" si="9"/>
        <v>0.7979309194059736</v>
      </c>
      <c r="J27" s="177">
        <f t="shared" si="10"/>
        <v>0.8125111706881144</v>
      </c>
      <c r="K27" s="174">
        <v>2388</v>
      </c>
      <c r="L27" s="174">
        <v>2253</v>
      </c>
      <c r="M27" s="177">
        <f t="shared" si="11"/>
        <v>0.42680965147453082</v>
      </c>
      <c r="N27" s="178">
        <v>0.52529696436427631</v>
      </c>
    </row>
    <row r="28" spans="1:14" ht="12.75" customHeight="1" thickBot="1" x14ac:dyDescent="0.25">
      <c r="A28" s="701" t="s">
        <v>9</v>
      </c>
      <c r="B28" s="702"/>
      <c r="C28" s="702"/>
      <c r="D28" s="702"/>
      <c r="E28" s="702"/>
      <c r="F28" s="702"/>
      <c r="G28" s="702"/>
      <c r="H28" s="702"/>
      <c r="I28" s="702"/>
      <c r="J28" s="702"/>
      <c r="K28" s="702"/>
      <c r="L28" s="702"/>
      <c r="M28" s="702"/>
      <c r="N28" s="703"/>
    </row>
    <row r="29" spans="1:14" ht="12.75" customHeight="1" x14ac:dyDescent="0.2">
      <c r="A29" s="143" t="s">
        <v>48</v>
      </c>
      <c r="B29" s="144"/>
      <c r="C29" s="145"/>
      <c r="D29" s="146">
        <v>284977</v>
      </c>
      <c r="E29" s="147">
        <v>130353</v>
      </c>
      <c r="F29" s="148">
        <v>2.1861944105620892</v>
      </c>
      <c r="G29" s="147">
        <v>240977</v>
      </c>
      <c r="H29" s="149">
        <v>119446</v>
      </c>
      <c r="I29" s="150">
        <v>0.84560157486393639</v>
      </c>
      <c r="J29" s="150">
        <v>0.916327203823464</v>
      </c>
      <c r="K29" s="147">
        <v>75613</v>
      </c>
      <c r="L29" s="147">
        <v>72199</v>
      </c>
      <c r="M29" s="150">
        <v>0.58006336639739786</v>
      </c>
      <c r="N29" s="151">
        <v>0.63303082564506141</v>
      </c>
    </row>
    <row r="30" spans="1:14" ht="12.75" customHeight="1" x14ac:dyDescent="0.2">
      <c r="A30" s="686" t="s">
        <v>49</v>
      </c>
      <c r="B30" s="689" t="s">
        <v>50</v>
      </c>
      <c r="C30" s="690"/>
      <c r="D30" s="152">
        <v>233597</v>
      </c>
      <c r="E30" s="153">
        <v>94630</v>
      </c>
      <c r="F30" s="154">
        <v>2.4685300644615871</v>
      </c>
      <c r="G30" s="153">
        <v>197385</v>
      </c>
      <c r="H30" s="155">
        <v>87705</v>
      </c>
      <c r="I30" s="156">
        <v>0.84498088588466458</v>
      </c>
      <c r="J30" s="156">
        <v>0.92682024727887558</v>
      </c>
      <c r="K30" s="153">
        <v>59036</v>
      </c>
      <c r="L30" s="153">
        <v>56112</v>
      </c>
      <c r="M30" s="156">
        <v>0.62386135475007931</v>
      </c>
      <c r="N30" s="157">
        <v>0.67312011857932841</v>
      </c>
    </row>
    <row r="31" spans="1:14" ht="12.75" customHeight="1" x14ac:dyDescent="0.2">
      <c r="A31" s="687"/>
      <c r="B31" s="691" t="s">
        <v>49</v>
      </c>
      <c r="C31" s="158" t="s">
        <v>51</v>
      </c>
      <c r="D31" s="159">
        <v>158898</v>
      </c>
      <c r="E31" s="160">
        <v>78931</v>
      </c>
      <c r="F31" s="161">
        <v>2.0131253879971114</v>
      </c>
      <c r="G31" s="160">
        <v>134677</v>
      </c>
      <c r="H31" s="162">
        <v>72271</v>
      </c>
      <c r="I31" s="163">
        <v>0.84756888066558422</v>
      </c>
      <c r="J31" s="163">
        <v>0.91562250573285531</v>
      </c>
      <c r="K31" s="160">
        <v>48224</v>
      </c>
      <c r="L31" s="160">
        <v>43002</v>
      </c>
      <c r="M31" s="163">
        <v>0.61096400653735539</v>
      </c>
      <c r="N31" s="164">
        <v>0.66726626170939929</v>
      </c>
    </row>
    <row r="32" spans="1:14" ht="12.75" customHeight="1" x14ac:dyDescent="0.2">
      <c r="A32" s="687"/>
      <c r="B32" s="692"/>
      <c r="C32" s="165" t="s">
        <v>52</v>
      </c>
      <c r="D32" s="166">
        <v>74699</v>
      </c>
      <c r="E32" s="167">
        <v>41964</v>
      </c>
      <c r="F32" s="168">
        <v>1.7800733962444</v>
      </c>
      <c r="G32" s="167">
        <v>62708</v>
      </c>
      <c r="H32" s="169">
        <v>37668</v>
      </c>
      <c r="I32" s="170">
        <v>0.83947576272774738</v>
      </c>
      <c r="J32" s="170">
        <v>0.89762653703174144</v>
      </c>
      <c r="K32" s="167">
        <v>17348</v>
      </c>
      <c r="L32" s="167">
        <v>14116</v>
      </c>
      <c r="M32" s="170">
        <v>0.41340196358783721</v>
      </c>
      <c r="N32" s="171">
        <v>0.46055006902410534</v>
      </c>
    </row>
    <row r="33" spans="1:16" ht="12.75" customHeight="1" x14ac:dyDescent="0.2">
      <c r="A33" s="687"/>
      <c r="B33" s="689" t="s">
        <v>53</v>
      </c>
      <c r="C33" s="690"/>
      <c r="D33" s="152">
        <v>51380</v>
      </c>
      <c r="E33" s="153">
        <v>40993</v>
      </c>
      <c r="F33" s="154">
        <v>1.2533847242212084</v>
      </c>
      <c r="G33" s="153">
        <v>43592</v>
      </c>
      <c r="H33" s="155">
        <v>35853</v>
      </c>
      <c r="I33" s="156">
        <v>0.84842351109381087</v>
      </c>
      <c r="J33" s="156">
        <v>0.87461273876027612</v>
      </c>
      <c r="K33" s="153">
        <v>17422</v>
      </c>
      <c r="L33" s="153">
        <v>16494</v>
      </c>
      <c r="M33" s="156">
        <v>0.42499939013977994</v>
      </c>
      <c r="N33" s="157">
        <v>0.48592865311131567</v>
      </c>
    </row>
    <row r="34" spans="1:16" ht="12.75" customHeight="1" x14ac:dyDescent="0.2">
      <c r="A34" s="687"/>
      <c r="B34" s="691" t="s">
        <v>49</v>
      </c>
      <c r="C34" s="158" t="s">
        <v>51</v>
      </c>
      <c r="D34" s="159">
        <v>44770</v>
      </c>
      <c r="E34" s="160">
        <v>36598</v>
      </c>
      <c r="F34" s="161">
        <v>1.2232908902125799</v>
      </c>
      <c r="G34" s="160">
        <v>37962</v>
      </c>
      <c r="H34" s="162">
        <v>31956</v>
      </c>
      <c r="I34" s="163">
        <v>0.8479338842975207</v>
      </c>
      <c r="J34" s="163">
        <v>0.87316246789442042</v>
      </c>
      <c r="K34" s="160">
        <v>15586</v>
      </c>
      <c r="L34" s="160">
        <v>14710</v>
      </c>
      <c r="M34" s="163">
        <v>0.42587026613476148</v>
      </c>
      <c r="N34" s="164">
        <v>0.48773313305795468</v>
      </c>
    </row>
    <row r="35" spans="1:16" ht="12.75" customHeight="1" thickBot="1" x14ac:dyDescent="0.25">
      <c r="A35" s="704"/>
      <c r="B35" s="712"/>
      <c r="C35" s="172" t="s">
        <v>52</v>
      </c>
      <c r="D35" s="173">
        <v>6610</v>
      </c>
      <c r="E35" s="174">
        <v>6020</v>
      </c>
      <c r="F35" s="175">
        <v>1.0980066445182723</v>
      </c>
      <c r="G35" s="174">
        <v>5630</v>
      </c>
      <c r="H35" s="176">
        <v>5142</v>
      </c>
      <c r="I35" s="177">
        <v>0.85173978819969742</v>
      </c>
      <c r="J35" s="177">
        <v>0.85415282392026581</v>
      </c>
      <c r="K35" s="174">
        <v>1990</v>
      </c>
      <c r="L35" s="174">
        <v>1829</v>
      </c>
      <c r="M35" s="177">
        <v>0.33056478405315615</v>
      </c>
      <c r="N35" s="178">
        <v>0.38700894593543367</v>
      </c>
    </row>
    <row r="36" spans="1:16" ht="12.75" customHeight="1" thickBot="1" x14ac:dyDescent="0.25">
      <c r="A36" s="701" t="s">
        <v>10</v>
      </c>
      <c r="B36" s="702"/>
      <c r="C36" s="702"/>
      <c r="D36" s="702"/>
      <c r="E36" s="702"/>
      <c r="F36" s="702"/>
      <c r="G36" s="702"/>
      <c r="H36" s="702"/>
      <c r="I36" s="702"/>
      <c r="J36" s="702"/>
      <c r="K36" s="702"/>
      <c r="L36" s="702"/>
      <c r="M36" s="702"/>
      <c r="N36" s="703"/>
    </row>
    <row r="37" spans="1:16" ht="12.75" customHeight="1" x14ac:dyDescent="0.2">
      <c r="A37" s="143" t="s">
        <v>48</v>
      </c>
      <c r="B37" s="144"/>
      <c r="C37" s="145"/>
      <c r="D37" s="146">
        <v>294758</v>
      </c>
      <c r="E37" s="147">
        <v>130934</v>
      </c>
      <c r="F37" s="148">
        <f>D37/E37</f>
        <v>2.2511952586799455</v>
      </c>
      <c r="G37" s="147">
        <v>248747</v>
      </c>
      <c r="H37" s="149">
        <v>119687</v>
      </c>
      <c r="I37" s="150">
        <f t="shared" ref="I37:I43" si="12">G37/D37</f>
        <v>0.8439024555737249</v>
      </c>
      <c r="J37" s="150">
        <f t="shared" ref="J37:J43" si="13">+H37/E37</f>
        <v>0.91410176119266195</v>
      </c>
      <c r="K37" s="147">
        <v>79986</v>
      </c>
      <c r="L37" s="147">
        <v>76209</v>
      </c>
      <c r="M37" s="150">
        <f t="shared" ref="M37:M43" si="14">+K37/E37</f>
        <v>0.61088792826920435</v>
      </c>
      <c r="N37" s="151">
        <f t="shared" ref="N37:N43" si="15">K37/H37</f>
        <v>0.66829313125067891</v>
      </c>
    </row>
    <row r="38" spans="1:16" ht="12.75" customHeight="1" x14ac:dyDescent="0.2">
      <c r="A38" s="686" t="s">
        <v>49</v>
      </c>
      <c r="B38" s="689" t="s">
        <v>50</v>
      </c>
      <c r="C38" s="690"/>
      <c r="D38" s="152">
        <v>240902</v>
      </c>
      <c r="E38" s="153">
        <v>94259</v>
      </c>
      <c r="F38" s="154">
        <f t="shared" ref="F38:F43" si="16">D38/E38</f>
        <v>2.5557453399675363</v>
      </c>
      <c r="G38" s="153">
        <v>204248</v>
      </c>
      <c r="H38" s="155">
        <v>87652</v>
      </c>
      <c r="I38" s="156">
        <f t="shared" si="12"/>
        <v>0.84784684228441443</v>
      </c>
      <c r="J38" s="156">
        <f t="shared" si="13"/>
        <v>0.92990589758007192</v>
      </c>
      <c r="K38" s="153">
        <v>61808</v>
      </c>
      <c r="L38" s="153">
        <v>58625</v>
      </c>
      <c r="M38" s="156">
        <f t="shared" si="14"/>
        <v>0.65572518274117064</v>
      </c>
      <c r="N38" s="157">
        <f t="shared" si="15"/>
        <v>0.70515219276228724</v>
      </c>
    </row>
    <row r="39" spans="1:16" ht="12.75" customHeight="1" x14ac:dyDescent="0.2">
      <c r="A39" s="687"/>
      <c r="B39" s="691" t="s">
        <v>49</v>
      </c>
      <c r="C39" s="158" t="s">
        <v>51</v>
      </c>
      <c r="D39" s="159">
        <v>176307</v>
      </c>
      <c r="E39" s="160">
        <v>81173</v>
      </c>
      <c r="F39" s="161">
        <f t="shared" si="16"/>
        <v>2.1719906865583383</v>
      </c>
      <c r="G39" s="160">
        <v>149650</v>
      </c>
      <c r="H39" s="162">
        <v>75059</v>
      </c>
      <c r="I39" s="163">
        <f t="shared" si="12"/>
        <v>0.84880350751813594</v>
      </c>
      <c r="J39" s="163">
        <f t="shared" si="13"/>
        <v>0.92467938846660835</v>
      </c>
      <c r="K39" s="160">
        <v>52791</v>
      </c>
      <c r="L39" s="160">
        <v>47566</v>
      </c>
      <c r="M39" s="163">
        <f t="shared" si="14"/>
        <v>0.65035171793576685</v>
      </c>
      <c r="N39" s="164">
        <f t="shared" si="15"/>
        <v>0.70332671631649768</v>
      </c>
    </row>
    <row r="40" spans="1:16" ht="12.75" customHeight="1" x14ac:dyDescent="0.2">
      <c r="A40" s="687"/>
      <c r="B40" s="692"/>
      <c r="C40" s="165" t="s">
        <v>52</v>
      </c>
      <c r="D40" s="166">
        <v>64595</v>
      </c>
      <c r="E40" s="167">
        <v>34629</v>
      </c>
      <c r="F40" s="168">
        <f t="shared" si="16"/>
        <v>1.8653440757746398</v>
      </c>
      <c r="G40" s="167">
        <v>54598</v>
      </c>
      <c r="H40" s="169">
        <v>31024</v>
      </c>
      <c r="I40" s="170">
        <f t="shared" si="12"/>
        <v>0.8452356993575354</v>
      </c>
      <c r="J40" s="170">
        <f t="shared" si="13"/>
        <v>0.89589650293106937</v>
      </c>
      <c r="K40" s="167">
        <v>14332</v>
      </c>
      <c r="L40" s="167">
        <v>11963</v>
      </c>
      <c r="M40" s="170">
        <f t="shared" si="14"/>
        <v>0.41387276560108577</v>
      </c>
      <c r="N40" s="171">
        <f t="shared" si="15"/>
        <v>0.46196493037648273</v>
      </c>
    </row>
    <row r="41" spans="1:16" ht="12.75" customHeight="1" x14ac:dyDescent="0.2">
      <c r="A41" s="687"/>
      <c r="B41" s="689" t="s">
        <v>53</v>
      </c>
      <c r="C41" s="690"/>
      <c r="D41" s="152">
        <v>53856</v>
      </c>
      <c r="E41" s="153">
        <v>42628</v>
      </c>
      <c r="F41" s="154">
        <f t="shared" si="16"/>
        <v>1.2633949516749554</v>
      </c>
      <c r="G41" s="153">
        <v>44499</v>
      </c>
      <c r="H41" s="155">
        <v>36659</v>
      </c>
      <c r="I41" s="156">
        <f t="shared" si="12"/>
        <v>0.82625891265597151</v>
      </c>
      <c r="J41" s="156">
        <f t="shared" si="13"/>
        <v>0.85997466453973914</v>
      </c>
      <c r="K41" s="153">
        <v>19193</v>
      </c>
      <c r="L41" s="153">
        <v>18048</v>
      </c>
      <c r="M41" s="156">
        <f t="shared" si="14"/>
        <v>0.45024397109880832</v>
      </c>
      <c r="N41" s="157">
        <f t="shared" si="15"/>
        <v>0.523554925120707</v>
      </c>
    </row>
    <row r="42" spans="1:16" ht="12.75" customHeight="1" x14ac:dyDescent="0.2">
      <c r="A42" s="687"/>
      <c r="B42" s="691" t="s">
        <v>49</v>
      </c>
      <c r="C42" s="158" t="s">
        <v>51</v>
      </c>
      <c r="D42" s="159">
        <v>49763</v>
      </c>
      <c r="E42" s="160">
        <v>39925</v>
      </c>
      <c r="F42" s="161">
        <f t="shared" si="16"/>
        <v>1.2464120225422668</v>
      </c>
      <c r="G42" s="160">
        <v>41061</v>
      </c>
      <c r="H42" s="162">
        <v>34230</v>
      </c>
      <c r="I42" s="163">
        <f t="shared" si="12"/>
        <v>0.82513112151598578</v>
      </c>
      <c r="J42" s="163">
        <f t="shared" si="13"/>
        <v>0.85735754539762055</v>
      </c>
      <c r="K42" s="160">
        <v>18092</v>
      </c>
      <c r="L42" s="160">
        <v>16957</v>
      </c>
      <c r="M42" s="163">
        <f t="shared" si="14"/>
        <v>0.45314965560425796</v>
      </c>
      <c r="N42" s="164">
        <f t="shared" si="15"/>
        <v>0.52854221443178495</v>
      </c>
    </row>
    <row r="43" spans="1:16" ht="12.75" customHeight="1" thickBot="1" x14ac:dyDescent="0.25">
      <c r="A43" s="704"/>
      <c r="B43" s="712"/>
      <c r="C43" s="172" t="s">
        <v>52</v>
      </c>
      <c r="D43" s="173">
        <v>4093</v>
      </c>
      <c r="E43" s="174">
        <v>3723</v>
      </c>
      <c r="F43" s="175">
        <f t="shared" si="16"/>
        <v>1.099382218640881</v>
      </c>
      <c r="G43" s="174">
        <v>3438</v>
      </c>
      <c r="H43" s="176">
        <v>3156</v>
      </c>
      <c r="I43" s="177">
        <f t="shared" si="12"/>
        <v>0.83997068165160027</v>
      </c>
      <c r="J43" s="177">
        <f t="shared" si="13"/>
        <v>0.84770346494762283</v>
      </c>
      <c r="K43" s="174">
        <v>1195</v>
      </c>
      <c r="L43" s="174">
        <v>1118</v>
      </c>
      <c r="M43" s="177">
        <f t="shared" si="14"/>
        <v>0.32097770615095356</v>
      </c>
      <c r="N43" s="178">
        <f t="shared" si="15"/>
        <v>0.37864385297845377</v>
      </c>
    </row>
    <row r="44" spans="1:16" ht="12.75" customHeight="1" thickBot="1" x14ac:dyDescent="0.25">
      <c r="A44" s="701" t="s">
        <v>11</v>
      </c>
      <c r="B44" s="702"/>
      <c r="C44" s="702"/>
      <c r="D44" s="702"/>
      <c r="E44" s="702"/>
      <c r="F44" s="702"/>
      <c r="G44" s="702"/>
      <c r="H44" s="702"/>
      <c r="I44" s="702"/>
      <c r="J44" s="702"/>
      <c r="K44" s="702"/>
      <c r="L44" s="702"/>
      <c r="M44" s="702"/>
      <c r="N44" s="703"/>
      <c r="P44" s="7"/>
    </row>
    <row r="45" spans="1:16" ht="12.75" customHeight="1" x14ac:dyDescent="0.2">
      <c r="A45" s="143" t="s">
        <v>48</v>
      </c>
      <c r="B45" s="144"/>
      <c r="C45" s="145"/>
      <c r="D45" s="146">
        <v>303334</v>
      </c>
      <c r="E45" s="147">
        <v>137836</v>
      </c>
      <c r="F45" s="148">
        <v>2.2006877738762007</v>
      </c>
      <c r="G45" s="147">
        <v>256955</v>
      </c>
      <c r="H45" s="149">
        <v>127125</v>
      </c>
      <c r="I45" s="150">
        <v>0.84710253384058498</v>
      </c>
      <c r="J45" s="150">
        <v>0.92229170898749235</v>
      </c>
      <c r="K45" s="147">
        <v>89075</v>
      </c>
      <c r="L45" s="147">
        <v>85482</v>
      </c>
      <c r="M45" s="150">
        <v>0.64623900867697848</v>
      </c>
      <c r="N45" s="151">
        <v>0.70068829891838746</v>
      </c>
      <c r="P45" s="7"/>
    </row>
    <row r="46" spans="1:16" ht="12.75" customHeight="1" x14ac:dyDescent="0.2">
      <c r="A46" s="686" t="s">
        <v>49</v>
      </c>
      <c r="B46" s="689" t="s">
        <v>50</v>
      </c>
      <c r="C46" s="690"/>
      <c r="D46" s="152">
        <v>243851</v>
      </c>
      <c r="E46" s="153">
        <v>96707</v>
      </c>
      <c r="F46" s="154">
        <v>2.5215444590360572</v>
      </c>
      <c r="G46" s="153">
        <v>206651</v>
      </c>
      <c r="H46" s="155">
        <v>90214</v>
      </c>
      <c r="I46" s="156">
        <v>0.84744782674666086</v>
      </c>
      <c r="J46" s="156">
        <v>0.93285904846598489</v>
      </c>
      <c r="K46" s="153">
        <v>66608</v>
      </c>
      <c r="L46" s="153">
        <v>63703</v>
      </c>
      <c r="M46" s="156">
        <v>0.68876089631567516</v>
      </c>
      <c r="N46" s="157">
        <v>0.73833329638415324</v>
      </c>
      <c r="P46" s="7"/>
    </row>
    <row r="47" spans="1:16" ht="12.75" customHeight="1" x14ac:dyDescent="0.2">
      <c r="A47" s="687"/>
      <c r="B47" s="691" t="s">
        <v>49</v>
      </c>
      <c r="C47" s="158" t="s">
        <v>51</v>
      </c>
      <c r="D47" s="159">
        <v>190932</v>
      </c>
      <c r="E47" s="160">
        <v>87073</v>
      </c>
      <c r="F47" s="161">
        <v>2.192780770158373</v>
      </c>
      <c r="G47" s="160">
        <v>161784</v>
      </c>
      <c r="H47" s="162">
        <v>80757</v>
      </c>
      <c r="I47" s="163">
        <v>0.84733831940167181</v>
      </c>
      <c r="J47" s="163">
        <v>0.92746316309303689</v>
      </c>
      <c r="K47" s="160">
        <v>59987</v>
      </c>
      <c r="L47" s="160">
        <v>54815</v>
      </c>
      <c r="M47" s="163">
        <v>0.68892768137080385</v>
      </c>
      <c r="N47" s="164">
        <v>0.7428086729323774</v>
      </c>
      <c r="P47" s="7"/>
    </row>
    <row r="48" spans="1:16" ht="12.75" customHeight="1" x14ac:dyDescent="0.2">
      <c r="A48" s="687"/>
      <c r="B48" s="692"/>
      <c r="C48" s="165" t="s">
        <v>52</v>
      </c>
      <c r="D48" s="166">
        <v>52919</v>
      </c>
      <c r="E48" s="167">
        <v>28873</v>
      </c>
      <c r="F48" s="168">
        <v>1.8328195892356181</v>
      </c>
      <c r="G48" s="167">
        <v>44867</v>
      </c>
      <c r="H48" s="169">
        <v>26020</v>
      </c>
      <c r="I48" s="170">
        <v>0.84784292976057751</v>
      </c>
      <c r="J48" s="170">
        <v>0.90118796107089671</v>
      </c>
      <c r="K48" s="167">
        <v>11735</v>
      </c>
      <c r="L48" s="167">
        <v>9748</v>
      </c>
      <c r="M48" s="170">
        <v>0.40643507775430332</v>
      </c>
      <c r="N48" s="171">
        <v>0.45099923136049191</v>
      </c>
      <c r="P48" s="7"/>
    </row>
    <row r="49" spans="1:20" ht="12.75" customHeight="1" x14ac:dyDescent="0.2">
      <c r="A49" s="687"/>
      <c r="B49" s="689" t="s">
        <v>53</v>
      </c>
      <c r="C49" s="690"/>
      <c r="D49" s="152">
        <v>59483</v>
      </c>
      <c r="E49" s="153">
        <v>47704</v>
      </c>
      <c r="F49" s="154">
        <v>1.2469184974006373</v>
      </c>
      <c r="G49" s="153">
        <v>50304</v>
      </c>
      <c r="H49" s="155">
        <v>42011</v>
      </c>
      <c r="I49" s="156">
        <v>0.84568700300926314</v>
      </c>
      <c r="J49" s="156">
        <v>0.88065990273352335</v>
      </c>
      <c r="K49" s="153">
        <v>23768</v>
      </c>
      <c r="L49" s="153">
        <v>22338</v>
      </c>
      <c r="M49" s="156">
        <v>0.4982391413717927</v>
      </c>
      <c r="N49" s="157">
        <v>0.56575658756040081</v>
      </c>
      <c r="P49" s="7"/>
    </row>
    <row r="50" spans="1:20" ht="12.75" customHeight="1" x14ac:dyDescent="0.2">
      <c r="A50" s="687"/>
      <c r="B50" s="691" t="s">
        <v>49</v>
      </c>
      <c r="C50" s="158" t="s">
        <v>51</v>
      </c>
      <c r="D50" s="159">
        <v>54848</v>
      </c>
      <c r="E50" s="160">
        <v>44830</v>
      </c>
      <c r="F50" s="161">
        <v>1.2234664287307606</v>
      </c>
      <c r="G50" s="160">
        <v>46386</v>
      </c>
      <c r="H50" s="162">
        <v>39358</v>
      </c>
      <c r="I50" s="163">
        <v>0.8457190781796966</v>
      </c>
      <c r="J50" s="163">
        <v>0.87793888021414235</v>
      </c>
      <c r="K50" s="160">
        <v>22683</v>
      </c>
      <c r="L50" s="160">
        <v>21263</v>
      </c>
      <c r="M50" s="163">
        <v>0.50597813963863481</v>
      </c>
      <c r="N50" s="164">
        <v>0.57632501651506685</v>
      </c>
      <c r="P50" s="7"/>
    </row>
    <row r="51" spans="1:20" ht="12.75" customHeight="1" thickBot="1" x14ac:dyDescent="0.25">
      <c r="A51" s="704"/>
      <c r="B51" s="712"/>
      <c r="C51" s="172" t="s">
        <v>52</v>
      </c>
      <c r="D51" s="173">
        <v>4635</v>
      </c>
      <c r="E51" s="174">
        <v>4123</v>
      </c>
      <c r="F51" s="175">
        <v>1.1241814212951735</v>
      </c>
      <c r="G51" s="174">
        <v>3918</v>
      </c>
      <c r="H51" s="176">
        <v>3544</v>
      </c>
      <c r="I51" s="177">
        <v>0.84530744336569574</v>
      </c>
      <c r="J51" s="177">
        <v>0.85956827552752846</v>
      </c>
      <c r="K51" s="174">
        <v>1174</v>
      </c>
      <c r="L51" s="174">
        <v>1098</v>
      </c>
      <c r="M51" s="177">
        <v>0.28474411836041719</v>
      </c>
      <c r="N51" s="178">
        <v>0.33126410835214448</v>
      </c>
      <c r="P51" s="7"/>
    </row>
    <row r="52" spans="1:20" ht="12.75" customHeight="1" thickBot="1" x14ac:dyDescent="0.25">
      <c r="A52" s="701" t="s">
        <v>12</v>
      </c>
      <c r="B52" s="702"/>
      <c r="C52" s="702"/>
      <c r="D52" s="702"/>
      <c r="E52" s="702"/>
      <c r="F52" s="702"/>
      <c r="G52" s="702"/>
      <c r="H52" s="702"/>
      <c r="I52" s="702"/>
      <c r="J52" s="702"/>
      <c r="K52" s="702"/>
      <c r="L52" s="702"/>
      <c r="M52" s="702"/>
      <c r="N52" s="703"/>
      <c r="O52" s="179"/>
      <c r="P52" s="179"/>
      <c r="Q52" s="179"/>
      <c r="R52" s="179"/>
      <c r="S52" s="179"/>
    </row>
    <row r="53" spans="1:20" ht="12.75" customHeight="1" x14ac:dyDescent="0.2">
      <c r="A53" s="143" t="s">
        <v>48</v>
      </c>
      <c r="B53" s="144"/>
      <c r="C53" s="145"/>
      <c r="D53" s="146">
        <v>323704</v>
      </c>
      <c r="E53" s="147">
        <v>146800</v>
      </c>
      <c r="F53" s="148">
        <v>2.205068119891008</v>
      </c>
      <c r="G53" s="147">
        <v>274428</v>
      </c>
      <c r="H53" s="149">
        <v>135231</v>
      </c>
      <c r="I53" s="150">
        <v>0.84777451004621507</v>
      </c>
      <c r="J53" s="150">
        <v>0.92119209809264302</v>
      </c>
      <c r="K53" s="147">
        <v>97190</v>
      </c>
      <c r="L53" s="147">
        <v>92727</v>
      </c>
      <c r="M53" s="150">
        <v>0.66205722070844686</v>
      </c>
      <c r="N53" s="151">
        <v>0.71869615694626232</v>
      </c>
      <c r="O53" s="179"/>
      <c r="P53" s="179"/>
      <c r="Q53" s="179"/>
      <c r="R53" s="179"/>
      <c r="S53" s="179"/>
    </row>
    <row r="54" spans="1:20" ht="12.75" customHeight="1" x14ac:dyDescent="0.2">
      <c r="A54" s="686" t="s">
        <v>49</v>
      </c>
      <c r="B54" s="689" t="s">
        <v>50</v>
      </c>
      <c r="C54" s="690"/>
      <c r="D54" s="152">
        <v>254098</v>
      </c>
      <c r="E54" s="153">
        <v>99428</v>
      </c>
      <c r="F54" s="154">
        <v>2.5555980206782798</v>
      </c>
      <c r="G54" s="153">
        <v>215576</v>
      </c>
      <c r="H54" s="155">
        <v>92788</v>
      </c>
      <c r="I54" s="156">
        <v>0.84839707514423568</v>
      </c>
      <c r="J54" s="156">
        <v>0.93321800700004021</v>
      </c>
      <c r="K54" s="153">
        <v>69762</v>
      </c>
      <c r="L54" s="153">
        <v>66133</v>
      </c>
      <c r="M54" s="156">
        <v>0.70163334272036049</v>
      </c>
      <c r="N54" s="157">
        <v>0.7518429107212139</v>
      </c>
      <c r="O54" s="179"/>
      <c r="P54" s="179"/>
      <c r="Q54" s="179"/>
      <c r="R54" s="179"/>
      <c r="S54" s="179"/>
    </row>
    <row r="55" spans="1:20" ht="12.75" customHeight="1" x14ac:dyDescent="0.2">
      <c r="A55" s="687"/>
      <c r="B55" s="691" t="s">
        <v>49</v>
      </c>
      <c r="C55" s="158" t="s">
        <v>51</v>
      </c>
      <c r="D55" s="159">
        <v>211451</v>
      </c>
      <c r="E55" s="160">
        <v>92462</v>
      </c>
      <c r="F55" s="161">
        <v>2.2868962384547165</v>
      </c>
      <c r="G55" s="160">
        <v>179506</v>
      </c>
      <c r="H55" s="162">
        <v>86167</v>
      </c>
      <c r="I55" s="163">
        <v>0.84892481000326314</v>
      </c>
      <c r="J55" s="163">
        <v>0.93191797711492286</v>
      </c>
      <c r="K55" s="160">
        <v>65711</v>
      </c>
      <c r="L55" s="160">
        <v>60062</v>
      </c>
      <c r="M55" s="163">
        <v>0.71068114468646582</v>
      </c>
      <c r="N55" s="164">
        <v>0.76260053152599028</v>
      </c>
      <c r="O55" s="179"/>
      <c r="P55" s="179"/>
      <c r="Q55" s="179"/>
      <c r="R55" s="179"/>
      <c r="S55" s="179"/>
    </row>
    <row r="56" spans="1:20" ht="12.75" customHeight="1" x14ac:dyDescent="0.25">
      <c r="A56" s="687"/>
      <c r="B56" s="692"/>
      <c r="C56" s="165" t="s">
        <v>52</v>
      </c>
      <c r="D56" s="166">
        <v>42647</v>
      </c>
      <c r="E56" s="167">
        <v>23151</v>
      </c>
      <c r="F56" s="168">
        <v>1.8421234503909119</v>
      </c>
      <c r="G56" s="167">
        <v>36070</v>
      </c>
      <c r="H56" s="169">
        <v>20645</v>
      </c>
      <c r="I56" s="170">
        <v>0.84578047693858893</v>
      </c>
      <c r="J56" s="170">
        <v>0.89175413589045827</v>
      </c>
      <c r="K56" s="167">
        <v>8152</v>
      </c>
      <c r="L56" s="167">
        <v>6771</v>
      </c>
      <c r="M56" s="170">
        <v>0.35212301844412769</v>
      </c>
      <c r="N56" s="171">
        <v>0.39486558488738194</v>
      </c>
      <c r="O56" s="179"/>
      <c r="P56"/>
      <c r="Q56" s="179"/>
      <c r="R56" s="179"/>
      <c r="S56" s="6" t="s">
        <v>54</v>
      </c>
      <c r="T56" s="6" t="s">
        <v>54</v>
      </c>
    </row>
    <row r="57" spans="1:20" ht="12.75" customHeight="1" x14ac:dyDescent="0.2">
      <c r="A57" s="687"/>
      <c r="B57" s="689" t="s">
        <v>53</v>
      </c>
      <c r="C57" s="690"/>
      <c r="D57" s="152">
        <v>69606</v>
      </c>
      <c r="E57" s="153">
        <v>54728</v>
      </c>
      <c r="F57" s="154">
        <v>1.2718535301856453</v>
      </c>
      <c r="G57" s="153">
        <v>58852</v>
      </c>
      <c r="H57" s="155">
        <v>48241</v>
      </c>
      <c r="I57" s="156">
        <v>0.84550182455535439</v>
      </c>
      <c r="J57" s="156">
        <v>0.8814683525800322</v>
      </c>
      <c r="K57" s="153">
        <v>28973</v>
      </c>
      <c r="L57" s="153">
        <v>27276</v>
      </c>
      <c r="M57" s="156">
        <v>0.52939994152901626</v>
      </c>
      <c r="N57" s="157">
        <v>0.60058871084761922</v>
      </c>
      <c r="O57" s="179"/>
      <c r="P57" s="179"/>
      <c r="Q57" s="179"/>
      <c r="R57" s="179"/>
    </row>
    <row r="58" spans="1:20" ht="12.75" customHeight="1" x14ac:dyDescent="0.2">
      <c r="A58" s="687"/>
      <c r="B58" s="691" t="s">
        <v>49</v>
      </c>
      <c r="C58" s="158" t="s">
        <v>51</v>
      </c>
      <c r="D58" s="159">
        <v>66566</v>
      </c>
      <c r="E58" s="160">
        <v>52879</v>
      </c>
      <c r="F58" s="161">
        <v>1.2588362109722195</v>
      </c>
      <c r="G58" s="160">
        <v>56260</v>
      </c>
      <c r="H58" s="162">
        <v>46540</v>
      </c>
      <c r="I58" s="163">
        <v>0.84517621608629034</v>
      </c>
      <c r="J58" s="163">
        <v>0.88012254392102729</v>
      </c>
      <c r="K58" s="160">
        <v>28066</v>
      </c>
      <c r="L58" s="160">
        <v>26416</v>
      </c>
      <c r="M58" s="163">
        <v>0.53075890239981849</v>
      </c>
      <c r="N58" s="164">
        <v>0.60305113880532879</v>
      </c>
      <c r="O58" s="179"/>
      <c r="P58" s="179"/>
      <c r="Q58" s="179"/>
      <c r="R58" s="179"/>
    </row>
    <row r="59" spans="1:20" ht="12.75" customHeight="1" thickBot="1" x14ac:dyDescent="0.25">
      <c r="A59" s="704"/>
      <c r="B59" s="712"/>
      <c r="C59" s="172" t="s">
        <v>52</v>
      </c>
      <c r="D59" s="173">
        <v>3040</v>
      </c>
      <c r="E59" s="174">
        <v>2721</v>
      </c>
      <c r="F59" s="175">
        <v>1.1172363101800808</v>
      </c>
      <c r="G59" s="174">
        <v>2592</v>
      </c>
      <c r="H59" s="176">
        <v>2365</v>
      </c>
      <c r="I59" s="177">
        <v>0.85263157894736841</v>
      </c>
      <c r="J59" s="177">
        <v>0.86916574788680634</v>
      </c>
      <c r="K59" s="174">
        <v>993</v>
      </c>
      <c r="L59" s="174">
        <v>893</v>
      </c>
      <c r="M59" s="177">
        <v>0.36493936052921722</v>
      </c>
      <c r="N59" s="178">
        <v>0.41987315010570825</v>
      </c>
    </row>
    <row r="60" spans="1:20" ht="12.75" customHeight="1" thickBot="1" x14ac:dyDescent="0.25">
      <c r="A60" s="701" t="s">
        <v>13</v>
      </c>
      <c r="B60" s="702"/>
      <c r="C60" s="702"/>
      <c r="D60" s="702"/>
      <c r="E60" s="702"/>
      <c r="F60" s="702"/>
      <c r="G60" s="702"/>
      <c r="H60" s="702"/>
      <c r="I60" s="702"/>
      <c r="J60" s="702"/>
      <c r="K60" s="702"/>
      <c r="L60" s="702"/>
      <c r="M60" s="702"/>
      <c r="N60" s="703"/>
    </row>
    <row r="61" spans="1:20" ht="12.75" customHeight="1" x14ac:dyDescent="0.2">
      <c r="A61" s="180" t="s">
        <v>48</v>
      </c>
      <c r="B61" s="145"/>
      <c r="C61" s="145"/>
      <c r="D61" s="146">
        <v>320365</v>
      </c>
      <c r="E61" s="181">
        <v>147277</v>
      </c>
      <c r="F61" s="148">
        <f>D61/E61</f>
        <v>2.1752547919906027</v>
      </c>
      <c r="G61" s="149">
        <v>273393</v>
      </c>
      <c r="H61" s="149">
        <v>136117</v>
      </c>
      <c r="I61" s="150">
        <f t="shared" ref="I61:I67" si="17">G61/D61</f>
        <v>0.85337973873550477</v>
      </c>
      <c r="J61" s="150">
        <f t="shared" ref="J61:J67" si="18">+H61/E61</f>
        <v>0.92422442064952437</v>
      </c>
      <c r="K61" s="149">
        <v>104003</v>
      </c>
      <c r="L61" s="149">
        <v>98726</v>
      </c>
      <c r="M61" s="150">
        <f t="shared" ref="M61:M67" si="19">+K61/E61</f>
        <v>0.70617272214941917</v>
      </c>
      <c r="N61" s="151">
        <f t="shared" ref="N61:N67" si="20">K61/H61</f>
        <v>0.76407061572029944</v>
      </c>
      <c r="O61" s="27"/>
      <c r="P61" s="27"/>
    </row>
    <row r="62" spans="1:20" ht="12.75" customHeight="1" x14ac:dyDescent="0.2">
      <c r="A62" s="686" t="s">
        <v>49</v>
      </c>
      <c r="B62" s="689" t="s">
        <v>50</v>
      </c>
      <c r="C62" s="690"/>
      <c r="D62" s="152">
        <v>249947</v>
      </c>
      <c r="E62" s="182">
        <v>98695</v>
      </c>
      <c r="F62" s="154">
        <f t="shared" ref="F62:F67" si="21">D62/E62</f>
        <v>2.5325193778813517</v>
      </c>
      <c r="G62" s="155">
        <v>213508</v>
      </c>
      <c r="H62" s="155">
        <v>92379</v>
      </c>
      <c r="I62" s="156">
        <f t="shared" si="17"/>
        <v>0.85421309317575322</v>
      </c>
      <c r="J62" s="156">
        <f t="shared" si="18"/>
        <v>0.93600486346826084</v>
      </c>
      <c r="K62" s="155">
        <v>73177</v>
      </c>
      <c r="L62" s="155">
        <v>69266</v>
      </c>
      <c r="M62" s="156">
        <f t="shared" si="19"/>
        <v>0.7414458685850347</v>
      </c>
      <c r="N62" s="157">
        <f t="shared" si="20"/>
        <v>0.7921389060284264</v>
      </c>
      <c r="O62" s="27"/>
      <c r="P62" s="27"/>
    </row>
    <row r="63" spans="1:20" ht="12.75" customHeight="1" x14ac:dyDescent="0.2">
      <c r="A63" s="687"/>
      <c r="B63" s="691" t="s">
        <v>49</v>
      </c>
      <c r="C63" s="158" t="s">
        <v>51</v>
      </c>
      <c r="D63" s="159">
        <v>212240</v>
      </c>
      <c r="E63" s="183">
        <v>92484</v>
      </c>
      <c r="F63" s="161">
        <f t="shared" si="21"/>
        <v>2.2948834392976081</v>
      </c>
      <c r="G63" s="162">
        <v>182042</v>
      </c>
      <c r="H63" s="162">
        <v>86771</v>
      </c>
      <c r="I63" s="163">
        <f t="shared" si="17"/>
        <v>0.85771767810026389</v>
      </c>
      <c r="J63" s="163">
        <f t="shared" si="18"/>
        <v>0.93822715280480951</v>
      </c>
      <c r="K63" s="162">
        <v>69739</v>
      </c>
      <c r="L63" s="162">
        <v>63820</v>
      </c>
      <c r="M63" s="163">
        <f t="shared" si="19"/>
        <v>0.75406556809826564</v>
      </c>
      <c r="N63" s="164">
        <f t="shared" si="20"/>
        <v>0.80371322215947727</v>
      </c>
      <c r="O63" s="27"/>
      <c r="P63" s="27"/>
    </row>
    <row r="64" spans="1:20" ht="12.75" customHeight="1" x14ac:dyDescent="0.2">
      <c r="A64" s="687"/>
      <c r="B64" s="711"/>
      <c r="C64" s="165" t="s">
        <v>52</v>
      </c>
      <c r="D64" s="166">
        <v>37707</v>
      </c>
      <c r="E64" s="184">
        <v>20124</v>
      </c>
      <c r="F64" s="168">
        <f t="shared" si="21"/>
        <v>1.8737328562909958</v>
      </c>
      <c r="G64" s="169">
        <v>31466</v>
      </c>
      <c r="H64" s="169">
        <v>17644</v>
      </c>
      <c r="I64" s="170">
        <f t="shared" si="17"/>
        <v>0.83448696528496036</v>
      </c>
      <c r="J64" s="170">
        <f t="shared" si="18"/>
        <v>0.8767640628105744</v>
      </c>
      <c r="K64" s="169">
        <v>7198</v>
      </c>
      <c r="L64" s="169">
        <v>6123</v>
      </c>
      <c r="M64" s="170">
        <f t="shared" si="19"/>
        <v>0.3576823693102763</v>
      </c>
      <c r="N64" s="171">
        <f t="shared" si="20"/>
        <v>0.40795737927907505</v>
      </c>
    </row>
    <row r="65" spans="1:16" ht="12.75" customHeight="1" x14ac:dyDescent="0.2">
      <c r="A65" s="687"/>
      <c r="B65" s="689" t="s">
        <v>53</v>
      </c>
      <c r="C65" s="690"/>
      <c r="D65" s="152">
        <v>70418</v>
      </c>
      <c r="E65" s="182">
        <v>56180</v>
      </c>
      <c r="F65" s="154">
        <f t="shared" si="21"/>
        <v>1.2534353862584551</v>
      </c>
      <c r="G65" s="155">
        <v>59885</v>
      </c>
      <c r="H65" s="155">
        <v>49787</v>
      </c>
      <c r="I65" s="156">
        <f t="shared" si="17"/>
        <v>0.85042176716180518</v>
      </c>
      <c r="J65" s="156">
        <f t="shared" si="18"/>
        <v>0.88620505517977932</v>
      </c>
      <c r="K65" s="155">
        <v>32645</v>
      </c>
      <c r="L65" s="155">
        <v>30222</v>
      </c>
      <c r="M65" s="156">
        <f t="shared" si="19"/>
        <v>0.58107867568529725</v>
      </c>
      <c r="N65" s="157">
        <f t="shared" si="20"/>
        <v>0.65569325325888284</v>
      </c>
    </row>
    <row r="66" spans="1:16" ht="12.75" customHeight="1" x14ac:dyDescent="0.2">
      <c r="A66" s="687"/>
      <c r="B66" s="691" t="s">
        <v>49</v>
      </c>
      <c r="C66" s="158" t="s">
        <v>51</v>
      </c>
      <c r="D66" s="159">
        <v>68437</v>
      </c>
      <c r="E66" s="183">
        <v>55002</v>
      </c>
      <c r="F66" s="161">
        <f t="shared" si="21"/>
        <v>1.2442638449510928</v>
      </c>
      <c r="G66" s="162">
        <v>58324</v>
      </c>
      <c r="H66" s="162">
        <v>48786</v>
      </c>
      <c r="I66" s="163">
        <f t="shared" si="17"/>
        <v>0.85222905738124111</v>
      </c>
      <c r="J66" s="163">
        <f t="shared" si="18"/>
        <v>0.88698592778444418</v>
      </c>
      <c r="K66" s="162">
        <v>32001</v>
      </c>
      <c r="L66" s="162">
        <v>29573</v>
      </c>
      <c r="M66" s="163">
        <f t="shared" si="19"/>
        <v>0.58181520671975562</v>
      </c>
      <c r="N66" s="164">
        <f t="shared" si="20"/>
        <v>0.65594637805927936</v>
      </c>
    </row>
    <row r="67" spans="1:16" ht="12.75" customHeight="1" thickBot="1" x14ac:dyDescent="0.25">
      <c r="A67" s="688"/>
      <c r="B67" s="693"/>
      <c r="C67" s="185" t="s">
        <v>52</v>
      </c>
      <c r="D67" s="186">
        <v>1981</v>
      </c>
      <c r="E67" s="187">
        <v>1783</v>
      </c>
      <c r="F67" s="188">
        <f t="shared" si="21"/>
        <v>1.1110487941671341</v>
      </c>
      <c r="G67" s="189">
        <v>1561</v>
      </c>
      <c r="H67" s="189">
        <v>1426</v>
      </c>
      <c r="I67" s="190">
        <f t="shared" si="17"/>
        <v>0.78798586572438167</v>
      </c>
      <c r="J67" s="190">
        <f t="shared" si="18"/>
        <v>0.79977565900168257</v>
      </c>
      <c r="K67" s="189">
        <v>737</v>
      </c>
      <c r="L67" s="189">
        <v>671</v>
      </c>
      <c r="M67" s="190">
        <f t="shared" si="19"/>
        <v>0.41334828939988782</v>
      </c>
      <c r="N67" s="191">
        <f t="shared" si="20"/>
        <v>0.51683029453015428</v>
      </c>
    </row>
    <row r="68" spans="1:16" ht="12.75" customHeight="1" thickTop="1" thickBot="1" x14ac:dyDescent="0.25">
      <c r="A68" s="701" t="s">
        <v>14</v>
      </c>
      <c r="B68" s="702"/>
      <c r="C68" s="702"/>
      <c r="D68" s="702"/>
      <c r="E68" s="702"/>
      <c r="F68" s="702"/>
      <c r="G68" s="702"/>
      <c r="H68" s="702"/>
      <c r="I68" s="702"/>
      <c r="J68" s="702"/>
      <c r="K68" s="702"/>
      <c r="L68" s="702"/>
      <c r="M68" s="702"/>
      <c r="N68" s="703"/>
    </row>
    <row r="69" spans="1:16" ht="12.75" customHeight="1" x14ac:dyDescent="0.2">
      <c r="A69" s="180" t="s">
        <v>48</v>
      </c>
      <c r="B69" s="145"/>
      <c r="C69" s="145"/>
      <c r="D69" s="146">
        <v>324993</v>
      </c>
      <c r="E69" s="181">
        <v>146620</v>
      </c>
      <c r="F69" s="148">
        <f>D69/E69</f>
        <v>2.2165666348383577</v>
      </c>
      <c r="G69" s="149">
        <v>282097</v>
      </c>
      <c r="H69" s="149">
        <v>136767</v>
      </c>
      <c r="I69" s="150">
        <f t="shared" ref="I69:I75" si="22">G69/D69</f>
        <v>0.86800946481924224</v>
      </c>
      <c r="J69" s="150">
        <f t="shared" ref="J69:J75" si="23">+H69/E69</f>
        <v>0.93279907243213744</v>
      </c>
      <c r="K69" s="149">
        <v>105570</v>
      </c>
      <c r="L69" s="149">
        <v>99818</v>
      </c>
      <c r="M69" s="150">
        <f t="shared" ref="M69:M75" si="24">+K69/E69</f>
        <v>0.72002455326694859</v>
      </c>
      <c r="N69" s="151">
        <f t="shared" ref="N69:N75" si="25">K69/H69</f>
        <v>0.77189672947421528</v>
      </c>
      <c r="O69" s="27"/>
      <c r="P69" s="27"/>
    </row>
    <row r="70" spans="1:16" ht="12.75" customHeight="1" x14ac:dyDescent="0.2">
      <c r="A70" s="686" t="s">
        <v>49</v>
      </c>
      <c r="B70" s="689" t="s">
        <v>50</v>
      </c>
      <c r="C70" s="690"/>
      <c r="D70" s="152">
        <v>257108</v>
      </c>
      <c r="E70" s="182">
        <v>100560</v>
      </c>
      <c r="F70" s="154">
        <f t="shared" ref="F70:F75" si="26">D70/E70</f>
        <v>2.5567621320604612</v>
      </c>
      <c r="G70" s="155">
        <v>223710</v>
      </c>
      <c r="H70" s="155">
        <v>94893</v>
      </c>
      <c r="I70" s="156">
        <f t="shared" si="22"/>
        <v>0.87010128039578694</v>
      </c>
      <c r="J70" s="156">
        <f t="shared" si="23"/>
        <v>0.94364558472553695</v>
      </c>
      <c r="K70" s="155">
        <v>75344</v>
      </c>
      <c r="L70" s="155">
        <v>70703</v>
      </c>
      <c r="M70" s="156">
        <f t="shared" si="24"/>
        <v>0.74924423229912485</v>
      </c>
      <c r="N70" s="157">
        <f t="shared" si="25"/>
        <v>0.79398901921111142</v>
      </c>
      <c r="O70" s="27"/>
      <c r="P70" s="27"/>
    </row>
    <row r="71" spans="1:16" ht="12.75" customHeight="1" x14ac:dyDescent="0.2">
      <c r="A71" s="687"/>
      <c r="B71" s="691" t="s">
        <v>49</v>
      </c>
      <c r="C71" s="158" t="s">
        <v>51</v>
      </c>
      <c r="D71" s="159">
        <v>221555</v>
      </c>
      <c r="E71" s="183">
        <v>95168</v>
      </c>
      <c r="F71" s="161">
        <f t="shared" si="26"/>
        <v>2.3280409381304641</v>
      </c>
      <c r="G71" s="162">
        <v>193064</v>
      </c>
      <c r="H71" s="162">
        <v>89811</v>
      </c>
      <c r="I71" s="163">
        <f t="shared" si="22"/>
        <v>0.87140439168603734</v>
      </c>
      <c r="J71" s="163">
        <f t="shared" si="23"/>
        <v>0.94371007061197043</v>
      </c>
      <c r="K71" s="162">
        <v>72344</v>
      </c>
      <c r="L71" s="162">
        <v>65781</v>
      </c>
      <c r="M71" s="163">
        <f t="shared" si="24"/>
        <v>0.76017148621385344</v>
      </c>
      <c r="N71" s="164">
        <f t="shared" si="25"/>
        <v>0.80551380120475224</v>
      </c>
      <c r="O71" s="27"/>
      <c r="P71" s="27"/>
    </row>
    <row r="72" spans="1:16" ht="12.75" customHeight="1" x14ac:dyDescent="0.2">
      <c r="A72" s="687"/>
      <c r="B72" s="711"/>
      <c r="C72" s="165" t="s">
        <v>52</v>
      </c>
      <c r="D72" s="166">
        <v>35553</v>
      </c>
      <c r="E72" s="184">
        <v>18416</v>
      </c>
      <c r="F72" s="168">
        <f t="shared" si="26"/>
        <v>1.930549522154648</v>
      </c>
      <c r="G72" s="169">
        <v>30646</v>
      </c>
      <c r="H72" s="169">
        <v>16740</v>
      </c>
      <c r="I72" s="170">
        <f t="shared" si="22"/>
        <v>0.86198070486316203</v>
      </c>
      <c r="J72" s="170">
        <f t="shared" si="23"/>
        <v>0.90899218071242394</v>
      </c>
      <c r="K72" s="169">
        <v>6283</v>
      </c>
      <c r="L72" s="169">
        <v>5582</v>
      </c>
      <c r="M72" s="170">
        <f t="shared" si="24"/>
        <v>0.34117072111207647</v>
      </c>
      <c r="N72" s="171">
        <f t="shared" si="25"/>
        <v>0.37532855436081242</v>
      </c>
    </row>
    <row r="73" spans="1:16" ht="12.75" customHeight="1" x14ac:dyDescent="0.2">
      <c r="A73" s="687"/>
      <c r="B73" s="689" t="s">
        <v>53</v>
      </c>
      <c r="C73" s="690"/>
      <c r="D73" s="152">
        <v>67885</v>
      </c>
      <c r="E73" s="182">
        <v>53507</v>
      </c>
      <c r="F73" s="154">
        <f t="shared" si="26"/>
        <v>1.2687125049059003</v>
      </c>
      <c r="G73" s="155">
        <v>58387</v>
      </c>
      <c r="H73" s="155">
        <v>47931</v>
      </c>
      <c r="I73" s="156">
        <f t="shared" si="22"/>
        <v>0.86008691168888562</v>
      </c>
      <c r="J73" s="156">
        <f t="shared" si="23"/>
        <v>0.89578933597473231</v>
      </c>
      <c r="K73" s="155">
        <v>32300</v>
      </c>
      <c r="L73" s="155">
        <v>29966</v>
      </c>
      <c r="M73" s="156">
        <f t="shared" si="24"/>
        <v>0.60365933429270935</v>
      </c>
      <c r="N73" s="157">
        <f t="shared" si="25"/>
        <v>0.67388537689595462</v>
      </c>
      <c r="P73" s="26"/>
    </row>
    <row r="74" spans="1:16" ht="12.75" customHeight="1" x14ac:dyDescent="0.2">
      <c r="A74" s="687"/>
      <c r="B74" s="691" t="s">
        <v>49</v>
      </c>
      <c r="C74" s="158" t="s">
        <v>51</v>
      </c>
      <c r="D74" s="159">
        <v>66620</v>
      </c>
      <c r="E74" s="183">
        <v>52790</v>
      </c>
      <c r="F74" s="161">
        <f t="shared" si="26"/>
        <v>1.2619814358780073</v>
      </c>
      <c r="G74" s="162">
        <v>57321</v>
      </c>
      <c r="H74" s="162">
        <v>47279</v>
      </c>
      <c r="I74" s="163">
        <f t="shared" si="22"/>
        <v>0.86041729210447315</v>
      </c>
      <c r="J74" s="163">
        <f t="shared" si="23"/>
        <v>0.89560522826292854</v>
      </c>
      <c r="K74" s="162">
        <v>31792</v>
      </c>
      <c r="L74" s="162">
        <v>29451</v>
      </c>
      <c r="M74" s="163">
        <f t="shared" si="24"/>
        <v>0.60223527183178638</v>
      </c>
      <c r="N74" s="164">
        <f t="shared" si="25"/>
        <v>0.67243385012373358</v>
      </c>
      <c r="P74" s="37"/>
    </row>
    <row r="75" spans="1:16" ht="12.75" customHeight="1" thickBot="1" x14ac:dyDescent="0.25">
      <c r="A75" s="688"/>
      <c r="B75" s="693"/>
      <c r="C75" s="185" t="s">
        <v>52</v>
      </c>
      <c r="D75" s="186">
        <v>1265</v>
      </c>
      <c r="E75" s="187">
        <v>1098</v>
      </c>
      <c r="F75" s="188">
        <f t="shared" si="26"/>
        <v>1.1520947176684881</v>
      </c>
      <c r="G75" s="189">
        <v>1066</v>
      </c>
      <c r="H75" s="189">
        <v>953</v>
      </c>
      <c r="I75" s="190">
        <f t="shared" si="22"/>
        <v>0.84268774703557314</v>
      </c>
      <c r="J75" s="190">
        <f t="shared" si="23"/>
        <v>0.86794171220400729</v>
      </c>
      <c r="K75" s="189">
        <v>597</v>
      </c>
      <c r="L75" s="189">
        <v>538</v>
      </c>
      <c r="M75" s="190">
        <f t="shared" si="24"/>
        <v>0.54371584699453557</v>
      </c>
      <c r="N75" s="191">
        <f t="shared" si="25"/>
        <v>0.62644281217208819</v>
      </c>
      <c r="P75" s="26"/>
    </row>
    <row r="76" spans="1:16" ht="12.75" customHeight="1" thickTop="1" thickBot="1" x14ac:dyDescent="0.25">
      <c r="A76" s="701" t="s">
        <v>15</v>
      </c>
      <c r="B76" s="702"/>
      <c r="C76" s="702"/>
      <c r="D76" s="702"/>
      <c r="E76" s="702"/>
      <c r="F76" s="702"/>
      <c r="G76" s="702"/>
      <c r="H76" s="702"/>
      <c r="I76" s="702"/>
      <c r="J76" s="702"/>
      <c r="K76" s="702"/>
      <c r="L76" s="702"/>
      <c r="M76" s="702"/>
      <c r="N76" s="703"/>
    </row>
    <row r="77" spans="1:16" ht="12.75" customHeight="1" x14ac:dyDescent="0.2">
      <c r="A77" s="180" t="s">
        <v>48</v>
      </c>
      <c r="B77" s="145"/>
      <c r="C77" s="145"/>
      <c r="D77" s="146">
        <v>331536</v>
      </c>
      <c r="E77" s="181">
        <v>150588</v>
      </c>
      <c r="F77" s="148">
        <f>D77/E77</f>
        <v>2.2016096900151405</v>
      </c>
      <c r="G77" s="149">
        <v>288945</v>
      </c>
      <c r="H77" s="149">
        <v>140072</v>
      </c>
      <c r="I77" s="150">
        <f t="shared" ref="I77:I83" si="27">G77/D77</f>
        <v>0.8715343130157811</v>
      </c>
      <c r="J77" s="150">
        <f t="shared" ref="J77:J83" si="28">+H77/E77</f>
        <v>0.93016707838605994</v>
      </c>
      <c r="K77" s="149">
        <v>106437</v>
      </c>
      <c r="L77" s="149">
        <v>100676</v>
      </c>
      <c r="M77" s="150">
        <f t="shared" ref="M77:M83" si="29">+K77/E77</f>
        <v>0.70680930751454296</v>
      </c>
      <c r="N77" s="151">
        <f t="shared" ref="N77:N83" si="30">K77/H77</f>
        <v>0.75987349363184653</v>
      </c>
    </row>
    <row r="78" spans="1:16" ht="12.75" customHeight="1" x14ac:dyDescent="0.2">
      <c r="A78" s="686" t="s">
        <v>49</v>
      </c>
      <c r="B78" s="689" t="s">
        <v>50</v>
      </c>
      <c r="C78" s="690"/>
      <c r="D78" s="152">
        <v>265780</v>
      </c>
      <c r="E78" s="182">
        <v>105507</v>
      </c>
      <c r="F78" s="154">
        <f t="shared" ref="F78:F83" si="31">D78/E78</f>
        <v>2.5190745637730196</v>
      </c>
      <c r="G78" s="155">
        <v>232752</v>
      </c>
      <c r="H78" s="155">
        <v>99421</v>
      </c>
      <c r="I78" s="156">
        <f t="shared" si="27"/>
        <v>0.87573180826247277</v>
      </c>
      <c r="J78" s="156">
        <f t="shared" si="28"/>
        <v>0.94231662354156598</v>
      </c>
      <c r="K78" s="155">
        <v>77298</v>
      </c>
      <c r="L78" s="155">
        <v>72971</v>
      </c>
      <c r="M78" s="156">
        <f t="shared" si="29"/>
        <v>0.73263385367795497</v>
      </c>
      <c r="N78" s="157">
        <f t="shared" si="30"/>
        <v>0.7774816185715292</v>
      </c>
    </row>
    <row r="79" spans="1:16" ht="12.75" customHeight="1" x14ac:dyDescent="0.2">
      <c r="A79" s="687"/>
      <c r="B79" s="691" t="s">
        <v>49</v>
      </c>
      <c r="C79" s="158" t="s">
        <v>51</v>
      </c>
      <c r="D79" s="159">
        <v>230623</v>
      </c>
      <c r="E79" s="183">
        <v>100377</v>
      </c>
      <c r="F79" s="161">
        <f t="shared" si="31"/>
        <v>2.2975681680066149</v>
      </c>
      <c r="G79" s="162">
        <v>202103</v>
      </c>
      <c r="H79" s="162">
        <v>94678</v>
      </c>
      <c r="I79" s="163">
        <f t="shared" si="27"/>
        <v>0.87633497092657719</v>
      </c>
      <c r="J79" s="163">
        <f t="shared" si="28"/>
        <v>0.94322404534903415</v>
      </c>
      <c r="K79" s="162">
        <v>74324</v>
      </c>
      <c r="L79" s="162">
        <v>68079</v>
      </c>
      <c r="M79" s="163">
        <f t="shared" si="29"/>
        <v>0.74044850912061533</v>
      </c>
      <c r="N79" s="164">
        <f t="shared" si="30"/>
        <v>0.78501869494497134</v>
      </c>
    </row>
    <row r="80" spans="1:16" ht="12.75" customHeight="1" x14ac:dyDescent="0.2">
      <c r="A80" s="687"/>
      <c r="B80" s="711"/>
      <c r="C80" s="165" t="s">
        <v>52</v>
      </c>
      <c r="D80" s="166">
        <v>35157</v>
      </c>
      <c r="E80" s="184">
        <v>17862</v>
      </c>
      <c r="F80" s="168">
        <f t="shared" si="31"/>
        <v>1.9682566341954988</v>
      </c>
      <c r="G80" s="169">
        <v>30649</v>
      </c>
      <c r="H80" s="169">
        <v>16189</v>
      </c>
      <c r="I80" s="170">
        <f t="shared" si="27"/>
        <v>0.87177517990727305</v>
      </c>
      <c r="J80" s="170">
        <f t="shared" si="28"/>
        <v>0.90633747620647187</v>
      </c>
      <c r="K80" s="169">
        <v>6109</v>
      </c>
      <c r="L80" s="169">
        <v>5461</v>
      </c>
      <c r="M80" s="170">
        <f t="shared" si="29"/>
        <v>0.34201097301533984</v>
      </c>
      <c r="N80" s="171">
        <f t="shared" si="30"/>
        <v>0.37735499413181789</v>
      </c>
    </row>
    <row r="81" spans="1:14" ht="12.75" customHeight="1" x14ac:dyDescent="0.2">
      <c r="A81" s="687"/>
      <c r="B81" s="689" t="s">
        <v>53</v>
      </c>
      <c r="C81" s="690"/>
      <c r="D81" s="152">
        <v>65756</v>
      </c>
      <c r="E81" s="182">
        <v>52807</v>
      </c>
      <c r="F81" s="154">
        <f t="shared" si="31"/>
        <v>1.2452137027288048</v>
      </c>
      <c r="G81" s="155">
        <v>56193</v>
      </c>
      <c r="H81" s="155">
        <v>46826</v>
      </c>
      <c r="I81" s="156">
        <f t="shared" si="27"/>
        <v>0.85456840440416082</v>
      </c>
      <c r="J81" s="156">
        <f t="shared" si="28"/>
        <v>0.88673850057757497</v>
      </c>
      <c r="K81" s="155">
        <v>31217</v>
      </c>
      <c r="L81" s="155">
        <v>28480</v>
      </c>
      <c r="M81" s="156">
        <f t="shared" si="29"/>
        <v>0.59115268809059407</v>
      </c>
      <c r="N81" s="157">
        <f t="shared" si="30"/>
        <v>0.66665954811429551</v>
      </c>
    </row>
    <row r="82" spans="1:14" ht="12.75" customHeight="1" x14ac:dyDescent="0.2">
      <c r="A82" s="687"/>
      <c r="B82" s="691" t="s">
        <v>49</v>
      </c>
      <c r="C82" s="158" t="s">
        <v>51</v>
      </c>
      <c r="D82" s="159">
        <v>64114</v>
      </c>
      <c r="E82" s="183">
        <v>51867</v>
      </c>
      <c r="F82" s="161">
        <f t="shared" si="31"/>
        <v>1.2361231611622032</v>
      </c>
      <c r="G82" s="162">
        <v>54940</v>
      </c>
      <c r="H82" s="162">
        <v>46034</v>
      </c>
      <c r="I82" s="163">
        <f t="shared" si="27"/>
        <v>0.85691112705493344</v>
      </c>
      <c r="J82" s="163">
        <f t="shared" si="28"/>
        <v>0.88753928316656061</v>
      </c>
      <c r="K82" s="162">
        <v>30662</v>
      </c>
      <c r="L82" s="162">
        <v>27952</v>
      </c>
      <c r="M82" s="163">
        <f t="shared" si="29"/>
        <v>0.59116586654327419</v>
      </c>
      <c r="N82" s="164">
        <f t="shared" si="30"/>
        <v>0.66607290263718122</v>
      </c>
    </row>
    <row r="83" spans="1:14" ht="12.75" customHeight="1" thickBot="1" x14ac:dyDescent="0.25">
      <c r="A83" s="688"/>
      <c r="B83" s="693"/>
      <c r="C83" s="185" t="s">
        <v>52</v>
      </c>
      <c r="D83" s="186">
        <v>1642</v>
      </c>
      <c r="E83" s="187">
        <v>1508</v>
      </c>
      <c r="F83" s="188">
        <f t="shared" si="31"/>
        <v>1.0888594164456233</v>
      </c>
      <c r="G83" s="189">
        <v>1253</v>
      </c>
      <c r="H83" s="189">
        <v>1166</v>
      </c>
      <c r="I83" s="190">
        <f t="shared" si="27"/>
        <v>0.76309378806333739</v>
      </c>
      <c r="J83" s="190">
        <f t="shared" si="28"/>
        <v>0.77320954907161799</v>
      </c>
      <c r="K83" s="189">
        <v>633</v>
      </c>
      <c r="L83" s="189">
        <v>555</v>
      </c>
      <c r="M83" s="190">
        <f t="shared" si="29"/>
        <v>0.41976127320954909</v>
      </c>
      <c r="N83" s="191">
        <f t="shared" si="30"/>
        <v>0.54288164665523153</v>
      </c>
    </row>
    <row r="84" spans="1:14" ht="12.75" customHeight="1" thickTop="1" thickBot="1" x14ac:dyDescent="0.25">
      <c r="A84" s="701" t="s">
        <v>16</v>
      </c>
      <c r="B84" s="702"/>
      <c r="C84" s="702"/>
      <c r="D84" s="702"/>
      <c r="E84" s="702"/>
      <c r="F84" s="702"/>
      <c r="G84" s="702"/>
      <c r="H84" s="702"/>
      <c r="I84" s="702"/>
      <c r="J84" s="702"/>
      <c r="K84" s="702"/>
      <c r="L84" s="702"/>
      <c r="M84" s="702"/>
      <c r="N84" s="703"/>
    </row>
    <row r="85" spans="1:14" ht="12.75" customHeight="1" x14ac:dyDescent="0.2">
      <c r="A85" s="180" t="s">
        <v>48</v>
      </c>
      <c r="B85" s="145"/>
      <c r="C85" s="145"/>
      <c r="D85" s="146">
        <v>330066</v>
      </c>
      <c r="E85" s="181">
        <v>149613</v>
      </c>
      <c r="F85" s="148">
        <f>D85/E85</f>
        <v>2.2061318200958473</v>
      </c>
      <c r="G85" s="149">
        <v>288581</v>
      </c>
      <c r="H85" s="149">
        <v>139280</v>
      </c>
      <c r="I85" s="150">
        <f t="shared" ref="I85:I91" si="32">G85/D85</f>
        <v>0.87431301618464186</v>
      </c>
      <c r="J85" s="150">
        <f t="shared" ref="J85:J91" si="33">+H85/E85</f>
        <v>0.93093514601003924</v>
      </c>
      <c r="K85" s="149">
        <v>103761</v>
      </c>
      <c r="L85" s="149">
        <v>97837</v>
      </c>
      <c r="M85" s="150">
        <f t="shared" ref="M85:M91" si="34">+K85/E85</f>
        <v>0.69352930560846981</v>
      </c>
      <c r="N85" s="151">
        <f t="shared" ref="N85:N91" si="35">K85/H85</f>
        <v>0.74498133256749</v>
      </c>
    </row>
    <row r="86" spans="1:14" ht="12.75" customHeight="1" x14ac:dyDescent="0.2">
      <c r="A86" s="686" t="s">
        <v>49</v>
      </c>
      <c r="B86" s="689" t="s">
        <v>50</v>
      </c>
      <c r="C86" s="690"/>
      <c r="D86" s="152">
        <v>262648</v>
      </c>
      <c r="E86" s="182">
        <v>104008</v>
      </c>
      <c r="F86" s="154">
        <f t="shared" ref="F86:F91" si="36">D86/E86</f>
        <v>2.5252672871317592</v>
      </c>
      <c r="G86" s="155">
        <v>230504</v>
      </c>
      <c r="H86" s="155">
        <v>98025</v>
      </c>
      <c r="I86" s="156">
        <f t="shared" si="32"/>
        <v>0.87761566811854652</v>
      </c>
      <c r="J86" s="156">
        <f t="shared" si="33"/>
        <v>0.94247557880163069</v>
      </c>
      <c r="K86" s="155">
        <v>75720</v>
      </c>
      <c r="L86" s="155">
        <v>71038</v>
      </c>
      <c r="M86" s="156">
        <f t="shared" si="34"/>
        <v>0.72802092146757946</v>
      </c>
      <c r="N86" s="157">
        <f t="shared" si="35"/>
        <v>0.7724560061208875</v>
      </c>
    </row>
    <row r="87" spans="1:14" ht="12.75" customHeight="1" x14ac:dyDescent="0.2">
      <c r="A87" s="687"/>
      <c r="B87" s="691" t="s">
        <v>49</v>
      </c>
      <c r="C87" s="158" t="s">
        <v>51</v>
      </c>
      <c r="D87" s="159">
        <v>227851</v>
      </c>
      <c r="E87" s="183">
        <v>98974</v>
      </c>
      <c r="F87" s="161">
        <f t="shared" si="36"/>
        <v>2.3021298522844384</v>
      </c>
      <c r="G87" s="162">
        <v>200372</v>
      </c>
      <c r="H87" s="162">
        <v>93377</v>
      </c>
      <c r="I87" s="163">
        <f t="shared" si="32"/>
        <v>0.87939925653168083</v>
      </c>
      <c r="J87" s="163">
        <f t="shared" si="33"/>
        <v>0.94344979489562919</v>
      </c>
      <c r="K87" s="162">
        <v>72334</v>
      </c>
      <c r="L87" s="162">
        <v>66163</v>
      </c>
      <c r="M87" s="163">
        <f t="shared" si="34"/>
        <v>0.73083840200456684</v>
      </c>
      <c r="N87" s="164">
        <f t="shared" si="35"/>
        <v>0.77464471979181171</v>
      </c>
    </row>
    <row r="88" spans="1:14" ht="12.75" customHeight="1" x14ac:dyDescent="0.2">
      <c r="A88" s="687"/>
      <c r="B88" s="711"/>
      <c r="C88" s="165" t="s">
        <v>52</v>
      </c>
      <c r="D88" s="166">
        <v>34797</v>
      </c>
      <c r="E88" s="184">
        <v>17592</v>
      </c>
      <c r="F88" s="168">
        <f t="shared" si="36"/>
        <v>1.9780013642564802</v>
      </c>
      <c r="G88" s="169">
        <v>30132</v>
      </c>
      <c r="H88" s="169">
        <v>15728</v>
      </c>
      <c r="I88" s="170">
        <f t="shared" si="32"/>
        <v>0.8659367186826451</v>
      </c>
      <c r="J88" s="170">
        <f t="shared" si="33"/>
        <v>0.89404274670304684</v>
      </c>
      <c r="K88" s="169">
        <v>6037</v>
      </c>
      <c r="L88" s="169">
        <v>5478</v>
      </c>
      <c r="M88" s="170">
        <f t="shared" si="34"/>
        <v>0.34316734879490679</v>
      </c>
      <c r="N88" s="171">
        <f t="shared" si="35"/>
        <v>0.38383774160732453</v>
      </c>
    </row>
    <row r="89" spans="1:14" ht="12.75" customHeight="1" x14ac:dyDescent="0.2">
      <c r="A89" s="687"/>
      <c r="B89" s="689" t="s">
        <v>53</v>
      </c>
      <c r="C89" s="690"/>
      <c r="D89" s="152">
        <v>67418</v>
      </c>
      <c r="E89" s="182">
        <v>53508</v>
      </c>
      <c r="F89" s="154">
        <f t="shared" si="36"/>
        <v>1.259961127308066</v>
      </c>
      <c r="G89" s="155">
        <v>58077</v>
      </c>
      <c r="H89" s="155">
        <v>47751</v>
      </c>
      <c r="I89" s="156">
        <f t="shared" si="32"/>
        <v>0.86144649796790174</v>
      </c>
      <c r="J89" s="156">
        <f t="shared" si="33"/>
        <v>0.89240861179636688</v>
      </c>
      <c r="K89" s="155">
        <v>30127</v>
      </c>
      <c r="L89" s="155">
        <v>27629</v>
      </c>
      <c r="M89" s="156">
        <f t="shared" si="34"/>
        <v>0.56303730283322118</v>
      </c>
      <c r="N89" s="157">
        <f t="shared" si="35"/>
        <v>0.63091872421519968</v>
      </c>
    </row>
    <row r="90" spans="1:14" ht="12.75" customHeight="1" x14ac:dyDescent="0.2">
      <c r="A90" s="687"/>
      <c r="B90" s="691" t="s">
        <v>49</v>
      </c>
      <c r="C90" s="158" t="s">
        <v>51</v>
      </c>
      <c r="D90" s="159">
        <v>66043</v>
      </c>
      <c r="E90" s="183">
        <v>52733</v>
      </c>
      <c r="F90" s="161">
        <f t="shared" si="36"/>
        <v>1.2524036182276752</v>
      </c>
      <c r="G90" s="162">
        <v>56873</v>
      </c>
      <c r="H90" s="162">
        <v>47026</v>
      </c>
      <c r="I90" s="163">
        <f t="shared" si="32"/>
        <v>0.86115106824341714</v>
      </c>
      <c r="J90" s="163">
        <f t="shared" si="33"/>
        <v>0.89177554851800578</v>
      </c>
      <c r="K90" s="162">
        <v>29541</v>
      </c>
      <c r="L90" s="162">
        <v>27066</v>
      </c>
      <c r="M90" s="163">
        <f t="shared" si="34"/>
        <v>0.56019949557203275</v>
      </c>
      <c r="N90" s="164">
        <f t="shared" si="35"/>
        <v>0.6281844086250159</v>
      </c>
    </row>
    <row r="91" spans="1:14" ht="12.75" customHeight="1" thickBot="1" x14ac:dyDescent="0.25">
      <c r="A91" s="688"/>
      <c r="B91" s="693"/>
      <c r="C91" s="185" t="s">
        <v>52</v>
      </c>
      <c r="D91" s="186">
        <v>1375</v>
      </c>
      <c r="E91" s="187">
        <v>1201</v>
      </c>
      <c r="F91" s="188">
        <f t="shared" si="36"/>
        <v>1.144879267277269</v>
      </c>
      <c r="G91" s="189">
        <v>1204</v>
      </c>
      <c r="H91" s="189">
        <v>1084</v>
      </c>
      <c r="I91" s="190">
        <f t="shared" si="32"/>
        <v>0.87563636363636366</v>
      </c>
      <c r="J91" s="190">
        <f t="shared" si="33"/>
        <v>0.9025811823480433</v>
      </c>
      <c r="K91" s="189">
        <v>674</v>
      </c>
      <c r="L91" s="189">
        <v>583</v>
      </c>
      <c r="M91" s="190">
        <f t="shared" si="34"/>
        <v>0.56119900083263952</v>
      </c>
      <c r="N91" s="191">
        <f t="shared" si="35"/>
        <v>0.62177121771217714</v>
      </c>
    </row>
    <row r="92" spans="1:14" ht="12.75" customHeight="1" thickTop="1" thickBot="1" x14ac:dyDescent="0.25">
      <c r="A92" s="701" t="s">
        <v>17</v>
      </c>
      <c r="B92" s="702"/>
      <c r="C92" s="702"/>
      <c r="D92" s="702"/>
      <c r="E92" s="702"/>
      <c r="F92" s="702"/>
      <c r="G92" s="702"/>
      <c r="H92" s="702"/>
      <c r="I92" s="702"/>
      <c r="J92" s="702"/>
      <c r="K92" s="702"/>
      <c r="L92" s="702"/>
      <c r="M92" s="702"/>
      <c r="N92" s="703"/>
    </row>
    <row r="93" spans="1:14" ht="12.75" customHeight="1" x14ac:dyDescent="0.2">
      <c r="A93" s="180" t="s">
        <v>48</v>
      </c>
      <c r="B93" s="145"/>
      <c r="C93" s="145"/>
      <c r="D93" s="146">
        <v>309452</v>
      </c>
      <c r="E93" s="181">
        <v>141054</v>
      </c>
      <c r="F93" s="148">
        <f>D93/E93</f>
        <v>2.1938548357366683</v>
      </c>
      <c r="G93" s="149">
        <v>268712</v>
      </c>
      <c r="H93" s="149">
        <v>130728</v>
      </c>
      <c r="I93" s="150">
        <f t="shared" ref="I93:I99" si="37">G93/D93</f>
        <v>0.86834791825549684</v>
      </c>
      <c r="J93" s="150">
        <f>+H93/E93</f>
        <v>0.92679399378961247</v>
      </c>
      <c r="K93" s="149">
        <v>98261</v>
      </c>
      <c r="L93" s="149">
        <v>92428</v>
      </c>
      <c r="M93" s="150">
        <f t="shared" ref="M93:M99" si="38">+K93/E93</f>
        <v>0.69661973428615986</v>
      </c>
      <c r="N93" s="151">
        <f>K93/H93</f>
        <v>0.75164463619117561</v>
      </c>
    </row>
    <row r="94" spans="1:14" ht="12.75" customHeight="1" x14ac:dyDescent="0.2">
      <c r="A94" s="686" t="s">
        <v>49</v>
      </c>
      <c r="B94" s="689" t="s">
        <v>50</v>
      </c>
      <c r="C94" s="690"/>
      <c r="D94" s="152">
        <v>250672</v>
      </c>
      <c r="E94" s="182">
        <v>101300</v>
      </c>
      <c r="F94" s="154">
        <f t="shared" ref="F94:F99" si="39">D94/E94</f>
        <v>2.4745508390918065</v>
      </c>
      <c r="G94" s="155">
        <v>218559</v>
      </c>
      <c r="H94" s="155">
        <v>95025</v>
      </c>
      <c r="I94" s="156">
        <f t="shared" si="37"/>
        <v>0.87189235335418391</v>
      </c>
      <c r="J94" s="156">
        <f t="shared" ref="J94:J99" si="40">+H94/E94</f>
        <v>0.9380552813425469</v>
      </c>
      <c r="K94" s="155">
        <v>73041</v>
      </c>
      <c r="L94" s="155">
        <v>68406</v>
      </c>
      <c r="M94" s="156">
        <f t="shared" si="38"/>
        <v>0.72103652517275418</v>
      </c>
      <c r="N94" s="157">
        <f t="shared" ref="N94:N99" si="41">K94/H94</f>
        <v>0.76865035516969216</v>
      </c>
    </row>
    <row r="95" spans="1:14" ht="12.75" customHeight="1" x14ac:dyDescent="0.2">
      <c r="A95" s="687"/>
      <c r="B95" s="691" t="s">
        <v>49</v>
      </c>
      <c r="C95" s="158" t="s">
        <v>51</v>
      </c>
      <c r="D95" s="159">
        <v>218313</v>
      </c>
      <c r="E95" s="183">
        <v>96418</v>
      </c>
      <c r="F95" s="161">
        <f t="shared" si="39"/>
        <v>2.2642348938994794</v>
      </c>
      <c r="G95" s="162">
        <v>190718</v>
      </c>
      <c r="H95" s="162">
        <v>90493</v>
      </c>
      <c r="I95" s="163">
        <f t="shared" si="37"/>
        <v>0.87359891531883127</v>
      </c>
      <c r="J95" s="163">
        <f t="shared" si="40"/>
        <v>0.93854881868530771</v>
      </c>
      <c r="K95" s="162">
        <v>70356</v>
      </c>
      <c r="L95" s="162">
        <v>64269</v>
      </c>
      <c r="M95" s="163">
        <f t="shared" si="38"/>
        <v>0.7296977742745131</v>
      </c>
      <c r="N95" s="164">
        <f t="shared" si="41"/>
        <v>0.77747450079011637</v>
      </c>
    </row>
    <row r="96" spans="1:14" ht="12.75" customHeight="1" x14ac:dyDescent="0.2">
      <c r="A96" s="687"/>
      <c r="B96" s="711"/>
      <c r="C96" s="165" t="s">
        <v>52</v>
      </c>
      <c r="D96" s="166">
        <v>32359</v>
      </c>
      <c r="E96" s="184">
        <v>16549</v>
      </c>
      <c r="F96" s="168">
        <f t="shared" si="39"/>
        <v>1.9553447338207746</v>
      </c>
      <c r="G96" s="169">
        <v>27841</v>
      </c>
      <c r="H96" s="169">
        <v>14888</v>
      </c>
      <c r="I96" s="170">
        <f t="shared" si="37"/>
        <v>0.86037887450168427</v>
      </c>
      <c r="J96" s="170">
        <f t="shared" si="40"/>
        <v>0.89963139766753275</v>
      </c>
      <c r="K96" s="169">
        <v>4993</v>
      </c>
      <c r="L96" s="169">
        <v>4532</v>
      </c>
      <c r="M96" s="170">
        <f t="shared" si="38"/>
        <v>0.30171007311620035</v>
      </c>
      <c r="N96" s="171">
        <f t="shared" si="41"/>
        <v>0.33537076840408381</v>
      </c>
    </row>
    <row r="97" spans="1:14" ht="12.75" customHeight="1" x14ac:dyDescent="0.2">
      <c r="A97" s="687"/>
      <c r="B97" s="689" t="s">
        <v>53</v>
      </c>
      <c r="C97" s="690"/>
      <c r="D97" s="152">
        <v>58780</v>
      </c>
      <c r="E97" s="182">
        <v>46839</v>
      </c>
      <c r="F97" s="154">
        <f t="shared" si="39"/>
        <v>1.2549371250453683</v>
      </c>
      <c r="G97" s="155">
        <v>50153</v>
      </c>
      <c r="H97" s="155">
        <v>41395</v>
      </c>
      <c r="I97" s="156">
        <f t="shared" si="37"/>
        <v>0.85323239197005785</v>
      </c>
      <c r="J97" s="156">
        <f t="shared" si="40"/>
        <v>0.88377207028331095</v>
      </c>
      <c r="K97" s="155">
        <v>26964</v>
      </c>
      <c r="L97" s="155">
        <v>24586</v>
      </c>
      <c r="M97" s="156">
        <f t="shared" si="38"/>
        <v>0.57567411772241084</v>
      </c>
      <c r="N97" s="157">
        <f t="shared" si="41"/>
        <v>0.65138301727261749</v>
      </c>
    </row>
    <row r="98" spans="1:14" ht="12.75" customHeight="1" x14ac:dyDescent="0.2">
      <c r="A98" s="687"/>
      <c r="B98" s="691" t="s">
        <v>49</v>
      </c>
      <c r="C98" s="158" t="s">
        <v>51</v>
      </c>
      <c r="D98" s="159">
        <v>56965</v>
      </c>
      <c r="E98" s="183">
        <v>45920</v>
      </c>
      <c r="F98" s="161">
        <f t="shared" si="39"/>
        <v>1.2405270034843205</v>
      </c>
      <c r="G98" s="162">
        <v>48776</v>
      </c>
      <c r="H98" s="162">
        <v>40609</v>
      </c>
      <c r="I98" s="163">
        <f t="shared" si="37"/>
        <v>0.85624506275783374</v>
      </c>
      <c r="J98" s="163">
        <f t="shared" si="40"/>
        <v>0.88434233449477351</v>
      </c>
      <c r="K98" s="162">
        <v>26224</v>
      </c>
      <c r="L98" s="162">
        <v>23913</v>
      </c>
      <c r="M98" s="163">
        <f t="shared" si="38"/>
        <v>0.57108013937282232</v>
      </c>
      <c r="N98" s="164">
        <f t="shared" si="41"/>
        <v>0.64576817946760567</v>
      </c>
    </row>
    <row r="99" spans="1:14" ht="12.75" customHeight="1" thickBot="1" x14ac:dyDescent="0.25">
      <c r="A99" s="688"/>
      <c r="B99" s="693"/>
      <c r="C99" s="185" t="s">
        <v>52</v>
      </c>
      <c r="D99" s="186">
        <v>1815</v>
      </c>
      <c r="E99" s="187">
        <v>1677</v>
      </c>
      <c r="F99" s="188">
        <f t="shared" si="39"/>
        <v>1.0822898032200359</v>
      </c>
      <c r="G99" s="189">
        <v>1377</v>
      </c>
      <c r="H99" s="189">
        <v>1274</v>
      </c>
      <c r="I99" s="190">
        <f t="shared" si="37"/>
        <v>0.75867768595041318</v>
      </c>
      <c r="J99" s="190">
        <f t="shared" si="40"/>
        <v>0.75968992248062017</v>
      </c>
      <c r="K99" s="189">
        <v>810</v>
      </c>
      <c r="L99" s="189">
        <v>691</v>
      </c>
      <c r="M99" s="190">
        <f t="shared" si="38"/>
        <v>0.48300536672629696</v>
      </c>
      <c r="N99" s="191">
        <f t="shared" si="41"/>
        <v>0.63579277864992145</v>
      </c>
    </row>
    <row r="100" spans="1:14" ht="12.75" customHeight="1" thickTop="1" thickBot="1" x14ac:dyDescent="0.25">
      <c r="A100" s="701" t="s">
        <v>35</v>
      </c>
      <c r="B100" s="702"/>
      <c r="C100" s="702"/>
      <c r="D100" s="702"/>
      <c r="E100" s="702"/>
      <c r="F100" s="702"/>
      <c r="G100" s="702"/>
      <c r="H100" s="702"/>
      <c r="I100" s="702"/>
      <c r="J100" s="702"/>
      <c r="K100" s="702"/>
      <c r="L100" s="702"/>
      <c r="M100" s="702"/>
      <c r="N100" s="703"/>
    </row>
    <row r="101" spans="1:14" ht="12.75" customHeight="1" x14ac:dyDescent="0.2">
      <c r="A101" s="180" t="s">
        <v>48</v>
      </c>
      <c r="B101" s="145"/>
      <c r="C101" s="145"/>
      <c r="D101" s="146">
        <v>290953</v>
      </c>
      <c r="E101" s="181">
        <v>134257</v>
      </c>
      <c r="F101" s="148">
        <f>D101/E101</f>
        <v>2.1671346745421096</v>
      </c>
      <c r="G101" s="149">
        <v>250402</v>
      </c>
      <c r="H101" s="149">
        <v>123766</v>
      </c>
      <c r="I101" s="150">
        <f t="shared" ref="I101:I107" si="42">G101/D101</f>
        <v>0.86062697411609435</v>
      </c>
      <c r="J101" s="150">
        <f>+H101/E101</f>
        <v>0.9218588230036423</v>
      </c>
      <c r="K101" s="149">
        <v>93714</v>
      </c>
      <c r="L101" s="149">
        <v>88109</v>
      </c>
      <c r="M101" s="150">
        <f t="shared" ref="M101:M107" si="43">+K101/E101</f>
        <v>0.69801947012073862</v>
      </c>
      <c r="N101" s="151">
        <f>K101/H101</f>
        <v>0.75718694956611665</v>
      </c>
    </row>
    <row r="102" spans="1:14" ht="12.75" customHeight="1" x14ac:dyDescent="0.2">
      <c r="A102" s="686" t="s">
        <v>49</v>
      </c>
      <c r="B102" s="689" t="s">
        <v>50</v>
      </c>
      <c r="C102" s="690"/>
      <c r="D102" s="152">
        <v>237160</v>
      </c>
      <c r="E102" s="182">
        <v>97666</v>
      </c>
      <c r="F102" s="154">
        <f t="shared" ref="F102:F107" si="44">D102/E102</f>
        <v>2.4282759609280609</v>
      </c>
      <c r="G102" s="155">
        <v>205424</v>
      </c>
      <c r="H102" s="155">
        <v>85070</v>
      </c>
      <c r="I102" s="156">
        <f t="shared" si="42"/>
        <v>0.86618316748186874</v>
      </c>
      <c r="J102" s="156">
        <f t="shared" ref="J102:J107" si="45">+H102/E102</f>
        <v>0.87102983638113574</v>
      </c>
      <c r="K102" s="155">
        <v>70690</v>
      </c>
      <c r="L102" s="155">
        <v>66292</v>
      </c>
      <c r="M102" s="156">
        <f t="shared" si="43"/>
        <v>0.72379333647328647</v>
      </c>
      <c r="N102" s="157">
        <f t="shared" ref="N102:N107" si="46">K102/H102</f>
        <v>0.83096273656988362</v>
      </c>
    </row>
    <row r="103" spans="1:14" ht="12.75" customHeight="1" x14ac:dyDescent="0.2">
      <c r="A103" s="687"/>
      <c r="B103" s="691" t="s">
        <v>49</v>
      </c>
      <c r="C103" s="158" t="s">
        <v>51</v>
      </c>
      <c r="D103" s="159">
        <v>205572</v>
      </c>
      <c r="E103" s="183">
        <v>92584</v>
      </c>
      <c r="F103" s="161">
        <f t="shared" si="44"/>
        <v>2.2203836516028685</v>
      </c>
      <c r="G103" s="162">
        <v>178201</v>
      </c>
      <c r="H103" s="162">
        <v>80814</v>
      </c>
      <c r="I103" s="163">
        <f t="shared" si="42"/>
        <v>0.86685443542894947</v>
      </c>
      <c r="J103" s="163">
        <f t="shared" si="45"/>
        <v>0.87287220254039577</v>
      </c>
      <c r="K103" s="162">
        <v>67687</v>
      </c>
      <c r="L103" s="162">
        <v>61907</v>
      </c>
      <c r="M103" s="163">
        <f t="shared" si="43"/>
        <v>0.73108744491488808</v>
      </c>
      <c r="N103" s="164">
        <f t="shared" si="46"/>
        <v>0.83756527334372755</v>
      </c>
    </row>
    <row r="104" spans="1:14" ht="12.75" customHeight="1" x14ac:dyDescent="0.2">
      <c r="A104" s="687"/>
      <c r="B104" s="711"/>
      <c r="C104" s="165" t="s">
        <v>52</v>
      </c>
      <c r="D104" s="166">
        <v>31588</v>
      </c>
      <c r="E104" s="184">
        <v>16390</v>
      </c>
      <c r="F104" s="168">
        <f t="shared" si="44"/>
        <v>1.9272727272727272</v>
      </c>
      <c r="G104" s="169">
        <v>27223</v>
      </c>
      <c r="H104" s="169">
        <v>14077</v>
      </c>
      <c r="I104" s="170">
        <f t="shared" si="42"/>
        <v>0.86181461314423202</v>
      </c>
      <c r="J104" s="170">
        <f t="shared" si="45"/>
        <v>0.85887736424649175</v>
      </c>
      <c r="K104" s="169">
        <v>5186</v>
      </c>
      <c r="L104" s="169">
        <v>4763</v>
      </c>
      <c r="M104" s="170">
        <f t="shared" si="43"/>
        <v>0.31641244661378892</v>
      </c>
      <c r="N104" s="171">
        <f t="shared" si="46"/>
        <v>0.3684023584570576</v>
      </c>
    </row>
    <row r="105" spans="1:14" ht="12.75" customHeight="1" x14ac:dyDescent="0.2">
      <c r="A105" s="687"/>
      <c r="B105" s="689" t="s">
        <v>53</v>
      </c>
      <c r="C105" s="690"/>
      <c r="D105" s="152">
        <v>53793</v>
      </c>
      <c r="E105" s="182">
        <v>43313</v>
      </c>
      <c r="F105" s="154">
        <f t="shared" si="44"/>
        <v>1.2419596887770414</v>
      </c>
      <c r="G105" s="155">
        <v>44978</v>
      </c>
      <c r="H105" s="155">
        <v>36494</v>
      </c>
      <c r="I105" s="156">
        <f t="shared" si="42"/>
        <v>0.83613109512390082</v>
      </c>
      <c r="J105" s="156">
        <f t="shared" si="45"/>
        <v>0.84256458799898415</v>
      </c>
      <c r="K105" s="155">
        <v>24839</v>
      </c>
      <c r="L105" s="155">
        <v>22368</v>
      </c>
      <c r="M105" s="156">
        <f t="shared" si="43"/>
        <v>0.57347678526077617</v>
      </c>
      <c r="N105" s="157">
        <f t="shared" si="46"/>
        <v>0.68063243272866769</v>
      </c>
    </row>
    <row r="106" spans="1:14" ht="12.75" customHeight="1" x14ac:dyDescent="0.2">
      <c r="A106" s="687"/>
      <c r="B106" s="691" t="s">
        <v>49</v>
      </c>
      <c r="C106" s="158" t="s">
        <v>51</v>
      </c>
      <c r="D106" s="159">
        <v>52776</v>
      </c>
      <c r="E106" s="183">
        <v>42764</v>
      </c>
      <c r="F106" s="161">
        <f t="shared" si="44"/>
        <v>1.2341221588251801</v>
      </c>
      <c r="G106" s="162">
        <v>44111</v>
      </c>
      <c r="H106" s="162">
        <v>36032</v>
      </c>
      <c r="I106" s="163">
        <f t="shared" si="42"/>
        <v>0.83581552220706379</v>
      </c>
      <c r="J106" s="163">
        <f t="shared" si="45"/>
        <v>0.8425778692358058</v>
      </c>
      <c r="K106" s="162">
        <v>24463</v>
      </c>
      <c r="L106" s="162">
        <v>22006</v>
      </c>
      <c r="M106" s="163">
        <f t="shared" si="43"/>
        <v>0.57204658123655416</v>
      </c>
      <c r="N106" s="164">
        <f t="shared" si="46"/>
        <v>0.67892428952042627</v>
      </c>
    </row>
    <row r="107" spans="1:14" ht="12.75" customHeight="1" thickBot="1" x14ac:dyDescent="0.25">
      <c r="A107" s="688"/>
      <c r="B107" s="693"/>
      <c r="C107" s="185" t="s">
        <v>52</v>
      </c>
      <c r="D107" s="186">
        <v>1017</v>
      </c>
      <c r="E107" s="187">
        <v>872</v>
      </c>
      <c r="F107" s="188">
        <f t="shared" si="44"/>
        <v>1.1662844036697249</v>
      </c>
      <c r="G107" s="189">
        <v>867</v>
      </c>
      <c r="H107" s="189">
        <v>737</v>
      </c>
      <c r="I107" s="190">
        <f t="shared" si="42"/>
        <v>0.85250737463126847</v>
      </c>
      <c r="J107" s="190">
        <f t="shared" si="45"/>
        <v>0.84518348623853212</v>
      </c>
      <c r="K107" s="189">
        <v>426</v>
      </c>
      <c r="L107" s="189">
        <v>373</v>
      </c>
      <c r="M107" s="190">
        <f t="shared" si="43"/>
        <v>0.48853211009174313</v>
      </c>
      <c r="N107" s="191">
        <f t="shared" si="46"/>
        <v>0.57801899592944372</v>
      </c>
    </row>
    <row r="108" spans="1:14" ht="12.75" customHeight="1" thickTop="1" thickBot="1" x14ac:dyDescent="0.25">
      <c r="A108" s="701" t="s">
        <v>542</v>
      </c>
      <c r="B108" s="702"/>
      <c r="C108" s="702"/>
      <c r="D108" s="702"/>
      <c r="E108" s="702"/>
      <c r="F108" s="702"/>
      <c r="G108" s="702"/>
      <c r="H108" s="702"/>
      <c r="I108" s="702"/>
      <c r="J108" s="702"/>
      <c r="K108" s="702"/>
      <c r="L108" s="702"/>
      <c r="M108" s="702"/>
      <c r="N108" s="703"/>
    </row>
    <row r="109" spans="1:14" ht="12.75" customHeight="1" x14ac:dyDescent="0.2">
      <c r="A109" s="180" t="s">
        <v>48</v>
      </c>
      <c r="B109" s="145"/>
      <c r="C109" s="145"/>
      <c r="D109" s="146">
        <v>260467</v>
      </c>
      <c r="E109" s="181">
        <v>121761</v>
      </c>
      <c r="F109" s="148">
        <f>D109/E109</f>
        <v>2.1391660712379168</v>
      </c>
      <c r="G109" s="149">
        <v>223347</v>
      </c>
      <c r="H109" s="149">
        <v>111374</v>
      </c>
      <c r="I109" s="150">
        <f t="shared" ref="I109:I115" si="47">G109/D109</f>
        <v>0.85748674496193378</v>
      </c>
      <c r="J109" s="150">
        <f>+H109/E109</f>
        <v>0.91469353898210426</v>
      </c>
      <c r="K109" s="149">
        <v>84764</v>
      </c>
      <c r="L109" s="149">
        <v>79073</v>
      </c>
      <c r="M109" s="150">
        <f t="shared" ref="M109:M115" si="48">+K109/E109</f>
        <v>0.6961506557929058</v>
      </c>
      <c r="N109" s="151">
        <f>K109/H109</f>
        <v>0.76107529585001887</v>
      </c>
    </row>
    <row r="110" spans="1:14" ht="12.75" customHeight="1" x14ac:dyDescent="0.2">
      <c r="A110" s="686" t="s">
        <v>49</v>
      </c>
      <c r="B110" s="689" t="s">
        <v>50</v>
      </c>
      <c r="C110" s="690"/>
      <c r="D110" s="152">
        <v>209861</v>
      </c>
      <c r="E110" s="182">
        <v>87643</v>
      </c>
      <c r="F110" s="154">
        <f>D110/E110</f>
        <v>2.3944981344773684</v>
      </c>
      <c r="G110" s="155">
        <v>181367</v>
      </c>
      <c r="H110" s="155">
        <v>81471</v>
      </c>
      <c r="I110" s="156">
        <f t="shared" si="47"/>
        <v>0.86422441520816162</v>
      </c>
      <c r="J110" s="156">
        <f t="shared" ref="J110:J115" si="49">+H110/E110</f>
        <v>0.92957794689821205</v>
      </c>
      <c r="K110" s="155">
        <v>62998</v>
      </c>
      <c r="L110" s="155">
        <v>58603</v>
      </c>
      <c r="M110" s="156">
        <f t="shared" si="48"/>
        <v>0.71880241433999292</v>
      </c>
      <c r="N110" s="157">
        <f t="shared" ref="N110:N115" si="50">K110/H110</f>
        <v>0.77325674166267755</v>
      </c>
    </row>
    <row r="111" spans="1:14" ht="12.75" customHeight="1" x14ac:dyDescent="0.2">
      <c r="A111" s="687"/>
      <c r="B111" s="691" t="s">
        <v>49</v>
      </c>
      <c r="C111" s="158" t="s">
        <v>51</v>
      </c>
      <c r="D111" s="159">
        <v>178632</v>
      </c>
      <c r="E111" s="183">
        <v>82629</v>
      </c>
      <c r="F111" s="154">
        <f t="shared" ref="F111:F115" si="51">D111/E111</f>
        <v>2.1618560069709183</v>
      </c>
      <c r="G111" s="162">
        <v>154627</v>
      </c>
      <c r="H111" s="162">
        <v>76889</v>
      </c>
      <c r="I111" s="163">
        <f t="shared" si="47"/>
        <v>0.86561758251601062</v>
      </c>
      <c r="J111" s="163">
        <f t="shared" si="49"/>
        <v>0.93053286376453792</v>
      </c>
      <c r="K111" s="162">
        <v>60175</v>
      </c>
      <c r="L111" s="162">
        <v>54301</v>
      </c>
      <c r="M111" s="163">
        <f t="shared" si="48"/>
        <v>0.72825521306078977</v>
      </c>
      <c r="N111" s="164">
        <f t="shared" si="50"/>
        <v>0.78262170141372633</v>
      </c>
    </row>
    <row r="112" spans="1:14" ht="12.75" customHeight="1" x14ac:dyDescent="0.2">
      <c r="A112" s="687"/>
      <c r="B112" s="711"/>
      <c r="C112" s="165" t="s">
        <v>52</v>
      </c>
      <c r="D112" s="166">
        <v>31229</v>
      </c>
      <c r="E112" s="184">
        <v>15861</v>
      </c>
      <c r="F112" s="154">
        <f t="shared" si="51"/>
        <v>1.9689174705251875</v>
      </c>
      <c r="G112" s="169">
        <v>26740</v>
      </c>
      <c r="H112" s="169">
        <v>14047</v>
      </c>
      <c r="I112" s="170">
        <f t="shared" si="47"/>
        <v>0.8562554036312402</v>
      </c>
      <c r="J112" s="170">
        <f t="shared" si="49"/>
        <v>0.88563142298720132</v>
      </c>
      <c r="K112" s="169">
        <v>5187</v>
      </c>
      <c r="L112" s="169">
        <v>4670</v>
      </c>
      <c r="M112" s="170">
        <f t="shared" si="48"/>
        <v>0.32702856062038965</v>
      </c>
      <c r="N112" s="171">
        <f t="shared" si="50"/>
        <v>0.3692603402861821</v>
      </c>
    </row>
    <row r="113" spans="1:14" ht="12.75" customHeight="1" x14ac:dyDescent="0.2">
      <c r="A113" s="687"/>
      <c r="B113" s="689" t="s">
        <v>53</v>
      </c>
      <c r="C113" s="690"/>
      <c r="D113" s="152">
        <v>50606</v>
      </c>
      <c r="E113" s="182">
        <v>40201</v>
      </c>
      <c r="F113" s="154">
        <f t="shared" si="51"/>
        <v>1.258824407353051</v>
      </c>
      <c r="G113" s="155">
        <v>41980</v>
      </c>
      <c r="H113" s="155">
        <v>34627</v>
      </c>
      <c r="I113" s="156">
        <f t="shared" si="47"/>
        <v>0.8295459036477888</v>
      </c>
      <c r="J113" s="156">
        <f t="shared" si="49"/>
        <v>0.86134673266834161</v>
      </c>
      <c r="K113" s="155">
        <v>23506</v>
      </c>
      <c r="L113" s="155">
        <v>21016</v>
      </c>
      <c r="M113" s="156">
        <f t="shared" si="48"/>
        <v>0.58471182308897784</v>
      </c>
      <c r="N113" s="157">
        <f t="shared" si="50"/>
        <v>0.67883443555606893</v>
      </c>
    </row>
    <row r="114" spans="1:14" ht="12.75" customHeight="1" x14ac:dyDescent="0.2">
      <c r="A114" s="687"/>
      <c r="B114" s="691" t="s">
        <v>49</v>
      </c>
      <c r="C114" s="158" t="s">
        <v>51</v>
      </c>
      <c r="D114" s="159">
        <v>48832</v>
      </c>
      <c r="E114" s="183">
        <v>39190</v>
      </c>
      <c r="F114" s="154">
        <f t="shared" si="51"/>
        <v>1.2460321510589436</v>
      </c>
      <c r="G114" s="162">
        <v>40472</v>
      </c>
      <c r="H114" s="162">
        <v>33695</v>
      </c>
      <c r="I114" s="163">
        <f t="shared" si="47"/>
        <v>0.82880078636959376</v>
      </c>
      <c r="J114" s="163">
        <f t="shared" si="49"/>
        <v>0.85978565960704256</v>
      </c>
      <c r="K114" s="162">
        <v>22774</v>
      </c>
      <c r="L114" s="162">
        <v>20325</v>
      </c>
      <c r="M114" s="163">
        <f t="shared" si="48"/>
        <v>0.58111763204899214</v>
      </c>
      <c r="N114" s="164">
        <f t="shared" si="50"/>
        <v>0.67588663006380767</v>
      </c>
    </row>
    <row r="115" spans="1:14" ht="12.75" customHeight="1" thickBot="1" x14ac:dyDescent="0.25">
      <c r="A115" s="688"/>
      <c r="B115" s="693"/>
      <c r="C115" s="185" t="s">
        <v>52</v>
      </c>
      <c r="D115" s="186">
        <v>1774</v>
      </c>
      <c r="E115" s="187">
        <v>1485</v>
      </c>
      <c r="F115" s="608">
        <f t="shared" si="51"/>
        <v>1.1946127946127947</v>
      </c>
      <c r="G115" s="189">
        <v>1508</v>
      </c>
      <c r="H115" s="189">
        <v>1302</v>
      </c>
      <c r="I115" s="190">
        <f t="shared" si="47"/>
        <v>0.8500563697857948</v>
      </c>
      <c r="J115" s="190">
        <f t="shared" si="49"/>
        <v>0.87676767676767675</v>
      </c>
      <c r="K115" s="189">
        <v>833</v>
      </c>
      <c r="L115" s="189">
        <v>717</v>
      </c>
      <c r="M115" s="190">
        <f t="shared" si="48"/>
        <v>0.56094276094276097</v>
      </c>
      <c r="N115" s="191">
        <f t="shared" si="50"/>
        <v>0.63978494623655913</v>
      </c>
    </row>
    <row r="116" spans="1:14" ht="12.75" customHeight="1" thickTop="1" thickBot="1" x14ac:dyDescent="0.25">
      <c r="A116" s="701" t="s">
        <v>544</v>
      </c>
      <c r="B116" s="702"/>
      <c r="C116" s="702"/>
      <c r="D116" s="702"/>
      <c r="E116" s="702"/>
      <c r="F116" s="702"/>
      <c r="G116" s="702"/>
      <c r="H116" s="702"/>
      <c r="I116" s="702"/>
      <c r="J116" s="702"/>
      <c r="K116" s="702"/>
      <c r="L116" s="702"/>
      <c r="M116" s="702"/>
      <c r="N116" s="703"/>
    </row>
    <row r="117" spans="1:14" ht="12.75" customHeight="1" x14ac:dyDescent="0.2">
      <c r="A117" s="180" t="s">
        <v>48</v>
      </c>
      <c r="B117" s="145"/>
      <c r="C117" s="145"/>
      <c r="D117" s="146">
        <v>243718</v>
      </c>
      <c r="E117" s="181">
        <v>113093</v>
      </c>
      <c r="F117" s="148">
        <f>D117/E117</f>
        <v>2.1550228572944392</v>
      </c>
      <c r="G117" s="149">
        <v>208353</v>
      </c>
      <c r="H117" s="149">
        <v>103442</v>
      </c>
      <c r="I117" s="150">
        <f t="shared" ref="I117:I123" si="52">G117/D117</f>
        <v>0.85489377066938022</v>
      </c>
      <c r="J117" s="150">
        <f>+H117/E117</f>
        <v>0.91466315333398174</v>
      </c>
      <c r="K117" s="149">
        <v>80302</v>
      </c>
      <c r="L117" s="149">
        <v>74833</v>
      </c>
      <c r="M117" s="150">
        <f t="shared" ref="M117:M123" si="53">+K117/E117</f>
        <v>0.71005278841307595</v>
      </c>
      <c r="N117" s="151">
        <f>K117/H117</f>
        <v>0.77629976218557262</v>
      </c>
    </row>
    <row r="118" spans="1:14" ht="12.75" customHeight="1" x14ac:dyDescent="0.2">
      <c r="A118" s="686" t="s">
        <v>49</v>
      </c>
      <c r="B118" s="689" t="s">
        <v>50</v>
      </c>
      <c r="C118" s="690"/>
      <c r="D118" s="152">
        <v>197353</v>
      </c>
      <c r="E118" s="182">
        <v>81826</v>
      </c>
      <c r="F118" s="154">
        <f t="shared" ref="F118:F123" si="54">D118/E118</f>
        <v>2.4118617554322586</v>
      </c>
      <c r="G118" s="155">
        <v>170004</v>
      </c>
      <c r="H118" s="155">
        <v>76019</v>
      </c>
      <c r="I118" s="156">
        <f t="shared" si="52"/>
        <v>0.86142090568676433</v>
      </c>
      <c r="J118" s="156">
        <f t="shared" ref="J118:J123" si="55">+H118/E118</f>
        <v>0.92903233691002862</v>
      </c>
      <c r="K118" s="155">
        <v>59402</v>
      </c>
      <c r="L118" s="155">
        <v>55299</v>
      </c>
      <c r="M118" s="156">
        <f t="shared" si="53"/>
        <v>0.7259550754039058</v>
      </c>
      <c r="N118" s="157">
        <f t="shared" ref="N118:N123" si="56">K118/H118</f>
        <v>0.7814099106802247</v>
      </c>
    </row>
    <row r="119" spans="1:14" ht="12.75" customHeight="1" x14ac:dyDescent="0.2">
      <c r="A119" s="687"/>
      <c r="B119" s="691" t="s">
        <v>49</v>
      </c>
      <c r="C119" s="158" t="s">
        <v>51</v>
      </c>
      <c r="D119" s="159">
        <v>167100</v>
      </c>
      <c r="E119" s="183">
        <v>77049</v>
      </c>
      <c r="F119" s="154">
        <f t="shared" si="54"/>
        <v>2.1687497566483667</v>
      </c>
      <c r="G119" s="162">
        <v>144054</v>
      </c>
      <c r="H119" s="162">
        <v>71501</v>
      </c>
      <c r="I119" s="163">
        <f t="shared" si="52"/>
        <v>0.86208258527827653</v>
      </c>
      <c r="J119" s="163">
        <f t="shared" si="55"/>
        <v>0.92799387402821576</v>
      </c>
      <c r="K119" s="162">
        <v>56533</v>
      </c>
      <c r="L119" s="162">
        <v>51032</v>
      </c>
      <c r="M119" s="163">
        <f t="shared" si="53"/>
        <v>0.73372788744824724</v>
      </c>
      <c r="N119" s="164">
        <f t="shared" si="56"/>
        <v>0.79066027048572751</v>
      </c>
    </row>
    <row r="120" spans="1:14" ht="12.75" customHeight="1" x14ac:dyDescent="0.2">
      <c r="A120" s="687"/>
      <c r="B120" s="711"/>
      <c r="C120" s="165" t="s">
        <v>52</v>
      </c>
      <c r="D120" s="166">
        <v>30253</v>
      </c>
      <c r="E120" s="184">
        <v>14805</v>
      </c>
      <c r="F120" s="154">
        <f t="shared" si="54"/>
        <v>2.0434312732185074</v>
      </c>
      <c r="G120" s="169">
        <v>25950</v>
      </c>
      <c r="H120" s="169">
        <v>13395</v>
      </c>
      <c r="I120" s="170">
        <f t="shared" si="52"/>
        <v>0.85776617194988924</v>
      </c>
      <c r="J120" s="170">
        <f t="shared" si="55"/>
        <v>0.90476190476190477</v>
      </c>
      <c r="K120" s="169">
        <v>5159</v>
      </c>
      <c r="L120" s="169">
        <v>4606</v>
      </c>
      <c r="M120" s="170">
        <f t="shared" si="53"/>
        <v>0.34846335697399528</v>
      </c>
      <c r="N120" s="171">
        <f t="shared" si="56"/>
        <v>0.38514371033967898</v>
      </c>
    </row>
    <row r="121" spans="1:14" ht="12.75" customHeight="1" x14ac:dyDescent="0.2">
      <c r="A121" s="687"/>
      <c r="B121" s="689" t="s">
        <v>53</v>
      </c>
      <c r="C121" s="690"/>
      <c r="D121" s="152">
        <v>46365</v>
      </c>
      <c r="E121" s="182">
        <v>36844</v>
      </c>
      <c r="F121" s="154">
        <f t="shared" si="54"/>
        <v>1.2584138530018456</v>
      </c>
      <c r="G121" s="155">
        <v>38349</v>
      </c>
      <c r="H121" s="155">
        <v>31626</v>
      </c>
      <c r="I121" s="156">
        <f t="shared" si="52"/>
        <v>0.82711096732449041</v>
      </c>
      <c r="J121" s="156">
        <f t="shared" si="55"/>
        <v>0.85837585495603086</v>
      </c>
      <c r="K121" s="155">
        <v>22411</v>
      </c>
      <c r="L121" s="155">
        <v>20003</v>
      </c>
      <c r="M121" s="156">
        <f t="shared" si="53"/>
        <v>0.60826728911084571</v>
      </c>
      <c r="N121" s="157">
        <f t="shared" si="56"/>
        <v>0.70862581420350346</v>
      </c>
    </row>
    <row r="122" spans="1:14" ht="12.75" customHeight="1" x14ac:dyDescent="0.2">
      <c r="A122" s="687"/>
      <c r="B122" s="691" t="s">
        <v>49</v>
      </c>
      <c r="C122" s="158" t="s">
        <v>51</v>
      </c>
      <c r="D122" s="159">
        <v>45072</v>
      </c>
      <c r="E122" s="183">
        <v>36176</v>
      </c>
      <c r="F122" s="154">
        <f t="shared" si="54"/>
        <v>1.2459088898717381</v>
      </c>
      <c r="G122" s="162">
        <v>37278</v>
      </c>
      <c r="H122" s="162">
        <v>31051</v>
      </c>
      <c r="I122" s="163">
        <f t="shared" si="52"/>
        <v>0.82707667731629397</v>
      </c>
      <c r="J122" s="163">
        <f t="shared" si="55"/>
        <v>0.85833149049093327</v>
      </c>
      <c r="K122" s="162">
        <v>22031</v>
      </c>
      <c r="L122" s="162">
        <v>19646</v>
      </c>
      <c r="M122" s="163">
        <f t="shared" si="53"/>
        <v>0.60899491375497572</v>
      </c>
      <c r="N122" s="164">
        <f t="shared" si="56"/>
        <v>0.70951016070335904</v>
      </c>
    </row>
    <row r="123" spans="1:14" ht="12.75" customHeight="1" thickBot="1" x14ac:dyDescent="0.25">
      <c r="A123" s="688"/>
      <c r="B123" s="693"/>
      <c r="C123" s="185" t="s">
        <v>52</v>
      </c>
      <c r="D123" s="186">
        <v>1293</v>
      </c>
      <c r="E123" s="187">
        <v>1037</v>
      </c>
      <c r="F123" s="608">
        <f t="shared" si="54"/>
        <v>1.2468659594985536</v>
      </c>
      <c r="G123" s="189">
        <v>1071</v>
      </c>
      <c r="H123" s="189">
        <v>896</v>
      </c>
      <c r="I123" s="190">
        <f t="shared" si="52"/>
        <v>0.82830626450116007</v>
      </c>
      <c r="J123" s="190">
        <f t="shared" si="55"/>
        <v>0.86403085824493731</v>
      </c>
      <c r="K123" s="189">
        <v>455</v>
      </c>
      <c r="L123" s="189">
        <v>378</v>
      </c>
      <c r="M123" s="190">
        <f t="shared" si="53"/>
        <v>0.43876567020250723</v>
      </c>
      <c r="N123" s="191">
        <f t="shared" si="56"/>
        <v>0.5078125</v>
      </c>
    </row>
    <row r="124" spans="1:14" ht="12.75" customHeight="1" thickTop="1" thickBot="1" x14ac:dyDescent="0.25">
      <c r="A124" s="701" t="s">
        <v>551</v>
      </c>
      <c r="B124" s="702"/>
      <c r="C124" s="702"/>
      <c r="D124" s="702"/>
      <c r="E124" s="702"/>
      <c r="F124" s="702"/>
      <c r="G124" s="702"/>
      <c r="H124" s="702"/>
      <c r="I124" s="702"/>
      <c r="J124" s="702"/>
      <c r="K124" s="702"/>
      <c r="L124" s="702"/>
      <c r="M124" s="702"/>
      <c r="N124" s="703"/>
    </row>
    <row r="125" spans="1:14" ht="12.75" customHeight="1" x14ac:dyDescent="0.2">
      <c r="A125" s="180" t="s">
        <v>48</v>
      </c>
      <c r="B125" s="145"/>
      <c r="C125" s="145"/>
      <c r="D125" s="146">
        <v>224151</v>
      </c>
      <c r="E125" s="181">
        <v>102791</v>
      </c>
      <c r="F125" s="148">
        <f>D125/E125</f>
        <v>2.1806481112159624</v>
      </c>
      <c r="G125" s="149">
        <v>190861</v>
      </c>
      <c r="H125" s="149">
        <v>94068</v>
      </c>
      <c r="I125" s="150">
        <f t="shared" ref="I125:I131" si="57">G125/D125</f>
        <v>0.85148404423803592</v>
      </c>
      <c r="J125" s="150">
        <f>+H125/E125</f>
        <v>0.91513848488680916</v>
      </c>
      <c r="K125" s="149">
        <v>74767</v>
      </c>
      <c r="L125" s="149">
        <v>69839</v>
      </c>
      <c r="M125" s="150">
        <f t="shared" ref="M125:M131" si="58">+K125/E125</f>
        <v>0.72736912764736217</v>
      </c>
      <c r="N125" s="151">
        <f>K125/H125</f>
        <v>0.79481864183356721</v>
      </c>
    </row>
    <row r="126" spans="1:14" ht="12.75" customHeight="1" x14ac:dyDescent="0.2">
      <c r="A126" s="686" t="s">
        <v>49</v>
      </c>
      <c r="B126" s="689" t="s">
        <v>50</v>
      </c>
      <c r="C126" s="690"/>
      <c r="D126" s="152">
        <v>184010</v>
      </c>
      <c r="E126" s="182">
        <v>75528</v>
      </c>
      <c r="F126" s="154">
        <f t="shared" ref="F126:F131" si="59">D126/E126</f>
        <v>2.4363150090032835</v>
      </c>
      <c r="G126" s="155">
        <v>157822</v>
      </c>
      <c r="H126" s="155">
        <v>70245</v>
      </c>
      <c r="I126" s="156">
        <f t="shared" si="57"/>
        <v>0.8576816477365361</v>
      </c>
      <c r="J126" s="156">
        <f t="shared" ref="J126:J131" si="60">+H126/E126</f>
        <v>0.93005243088655865</v>
      </c>
      <c r="K126" s="155">
        <v>55769</v>
      </c>
      <c r="L126" s="155">
        <v>51929</v>
      </c>
      <c r="M126" s="156">
        <f t="shared" si="58"/>
        <v>0.73838841224446561</v>
      </c>
      <c r="N126" s="157">
        <f t="shared" ref="N126:N131" si="61">K126/H126</f>
        <v>0.7939212755356253</v>
      </c>
    </row>
    <row r="127" spans="1:14" ht="12.75" customHeight="1" x14ac:dyDescent="0.2">
      <c r="A127" s="687"/>
      <c r="B127" s="691" t="s">
        <v>49</v>
      </c>
      <c r="C127" s="158" t="s">
        <v>51</v>
      </c>
      <c r="D127" s="159">
        <v>154760</v>
      </c>
      <c r="E127" s="183">
        <v>71028</v>
      </c>
      <c r="F127" s="154">
        <f t="shared" si="59"/>
        <v>2.1788590415047588</v>
      </c>
      <c r="G127" s="162">
        <v>132969</v>
      </c>
      <c r="H127" s="162">
        <v>66005</v>
      </c>
      <c r="I127" s="163">
        <f t="shared" si="57"/>
        <v>0.85919488239855257</v>
      </c>
      <c r="J127" s="163">
        <f t="shared" si="60"/>
        <v>0.92928141014811061</v>
      </c>
      <c r="K127" s="162">
        <v>52913</v>
      </c>
      <c r="L127" s="162">
        <v>47748</v>
      </c>
      <c r="M127" s="163">
        <f t="shared" si="58"/>
        <v>0.74495973418933381</v>
      </c>
      <c r="N127" s="164">
        <f t="shared" si="61"/>
        <v>0.80165139004620867</v>
      </c>
    </row>
    <row r="128" spans="1:14" ht="12.75" customHeight="1" x14ac:dyDescent="0.2">
      <c r="A128" s="687"/>
      <c r="B128" s="711"/>
      <c r="C128" s="165" t="s">
        <v>52</v>
      </c>
      <c r="D128" s="166">
        <v>29250</v>
      </c>
      <c r="E128" s="184">
        <v>14060</v>
      </c>
      <c r="F128" s="154">
        <f t="shared" si="59"/>
        <v>2.0803698435277385</v>
      </c>
      <c r="G128" s="169">
        <v>24853</v>
      </c>
      <c r="H128" s="169">
        <v>12639</v>
      </c>
      <c r="I128" s="170">
        <f t="shared" si="57"/>
        <v>0.8496752136752137</v>
      </c>
      <c r="J128" s="170">
        <f t="shared" si="60"/>
        <v>0.89893314366998578</v>
      </c>
      <c r="K128" s="169">
        <v>5044</v>
      </c>
      <c r="L128" s="169">
        <v>4474</v>
      </c>
      <c r="M128" s="170">
        <f t="shared" si="58"/>
        <v>0.35874822190611666</v>
      </c>
      <c r="N128" s="171">
        <f t="shared" si="61"/>
        <v>0.39908220587071763</v>
      </c>
    </row>
    <row r="129" spans="1:14" ht="12.75" customHeight="1" x14ac:dyDescent="0.2">
      <c r="A129" s="687"/>
      <c r="B129" s="689" t="s">
        <v>53</v>
      </c>
      <c r="C129" s="690"/>
      <c r="D129" s="152">
        <v>40141</v>
      </c>
      <c r="E129" s="182">
        <v>32234</v>
      </c>
      <c r="F129" s="154">
        <f t="shared" si="59"/>
        <v>1.2452999937953713</v>
      </c>
      <c r="G129" s="155">
        <v>33039</v>
      </c>
      <c r="H129" s="155">
        <v>27655</v>
      </c>
      <c r="I129" s="156">
        <f t="shared" si="57"/>
        <v>0.82307366532971271</v>
      </c>
      <c r="J129" s="156">
        <f t="shared" si="60"/>
        <v>0.85794502699013464</v>
      </c>
      <c r="K129" s="155">
        <v>20484</v>
      </c>
      <c r="L129" s="155">
        <v>18352</v>
      </c>
      <c r="M129" s="156">
        <f t="shared" si="58"/>
        <v>0.63547806663771178</v>
      </c>
      <c r="N129" s="157">
        <f t="shared" si="61"/>
        <v>0.74069788465015363</v>
      </c>
    </row>
    <row r="130" spans="1:14" ht="12.75" customHeight="1" x14ac:dyDescent="0.2">
      <c r="A130" s="687"/>
      <c r="B130" s="691" t="s">
        <v>49</v>
      </c>
      <c r="C130" s="158" t="s">
        <v>51</v>
      </c>
      <c r="D130" s="159">
        <v>39054</v>
      </c>
      <c r="E130" s="183">
        <v>31617</v>
      </c>
      <c r="F130" s="154">
        <f t="shared" si="59"/>
        <v>1.2352215580225827</v>
      </c>
      <c r="G130" s="162">
        <v>32142</v>
      </c>
      <c r="H130" s="162">
        <v>27109</v>
      </c>
      <c r="I130" s="163">
        <f t="shared" si="57"/>
        <v>0.82301428790904896</v>
      </c>
      <c r="J130" s="163">
        <f t="shared" si="60"/>
        <v>0.85741847740139798</v>
      </c>
      <c r="K130" s="162">
        <v>20081</v>
      </c>
      <c r="L130" s="162">
        <v>17967</v>
      </c>
      <c r="M130" s="163">
        <f t="shared" si="58"/>
        <v>0.63513299807065815</v>
      </c>
      <c r="N130" s="164">
        <f t="shared" si="61"/>
        <v>0.74075030432697631</v>
      </c>
    </row>
    <row r="131" spans="1:14" ht="12.75" customHeight="1" thickBot="1" x14ac:dyDescent="0.25">
      <c r="A131" s="688"/>
      <c r="B131" s="693"/>
      <c r="C131" s="185" t="s">
        <v>52</v>
      </c>
      <c r="D131" s="186">
        <v>1087</v>
      </c>
      <c r="E131" s="187">
        <v>884</v>
      </c>
      <c r="F131" s="608">
        <f t="shared" si="59"/>
        <v>1.2296380090497738</v>
      </c>
      <c r="G131" s="189">
        <v>897</v>
      </c>
      <c r="H131" s="189">
        <v>761</v>
      </c>
      <c r="I131" s="190">
        <f t="shared" si="57"/>
        <v>0.82520699172033118</v>
      </c>
      <c r="J131" s="190">
        <f t="shared" si="60"/>
        <v>0.86085972850678738</v>
      </c>
      <c r="K131" s="189">
        <v>448</v>
      </c>
      <c r="L131" s="189">
        <v>398</v>
      </c>
      <c r="M131" s="190">
        <f t="shared" si="58"/>
        <v>0.50678733031674206</v>
      </c>
      <c r="N131" s="191">
        <f t="shared" si="61"/>
        <v>0.58869908015768724</v>
      </c>
    </row>
    <row r="132" spans="1:14" ht="12.75" customHeight="1" thickTop="1" thickBot="1" x14ac:dyDescent="0.25">
      <c r="A132" s="701" t="s">
        <v>561</v>
      </c>
      <c r="B132" s="702"/>
      <c r="C132" s="702"/>
      <c r="D132" s="702"/>
      <c r="E132" s="702"/>
      <c r="F132" s="702"/>
      <c r="G132" s="702"/>
      <c r="H132" s="702"/>
      <c r="I132" s="702"/>
      <c r="J132" s="702"/>
      <c r="K132" s="702"/>
      <c r="L132" s="702"/>
      <c r="M132" s="702"/>
      <c r="N132" s="703"/>
    </row>
    <row r="133" spans="1:14" ht="12.75" customHeight="1" x14ac:dyDescent="0.2">
      <c r="A133" s="180" t="s">
        <v>48</v>
      </c>
      <c r="B133" s="145"/>
      <c r="C133" s="145"/>
      <c r="D133" s="146">
        <v>213317</v>
      </c>
      <c r="E133" s="181">
        <v>97998</v>
      </c>
      <c r="F133" s="148">
        <f>D133/E133</f>
        <v>2.1767485050715321</v>
      </c>
      <c r="G133" s="651">
        <v>183321</v>
      </c>
      <c r="H133" s="149">
        <v>90528</v>
      </c>
      <c r="I133" s="150">
        <f t="shared" ref="I133:I139" si="62">G133/D133</f>
        <v>0.85938298400971325</v>
      </c>
      <c r="J133" s="150">
        <f>+H133/E133</f>
        <v>0.92377395457050149</v>
      </c>
      <c r="K133" s="149">
        <v>74623</v>
      </c>
      <c r="L133" s="149">
        <v>69911</v>
      </c>
      <c r="M133" s="150">
        <f t="shared" ref="M133:M139" si="63">+K133/E133</f>
        <v>0.76147472397395866</v>
      </c>
      <c r="N133" s="151">
        <f>K133/H133</f>
        <v>0.82430850123718624</v>
      </c>
    </row>
    <row r="134" spans="1:14" ht="12.75" customHeight="1" x14ac:dyDescent="0.2">
      <c r="A134" s="686" t="s">
        <v>49</v>
      </c>
      <c r="B134" s="689" t="s">
        <v>50</v>
      </c>
      <c r="C134" s="690"/>
      <c r="D134" s="152">
        <v>176316</v>
      </c>
      <c r="E134" s="182">
        <v>72525</v>
      </c>
      <c r="F134" s="154">
        <f t="shared" ref="F134:F139" si="64">D134/E134</f>
        <v>2.4311065149948292</v>
      </c>
      <c r="G134" s="652">
        <v>152415</v>
      </c>
      <c r="H134" s="155">
        <v>67944</v>
      </c>
      <c r="I134" s="156">
        <f t="shared" si="62"/>
        <v>0.86444225141223707</v>
      </c>
      <c r="J134" s="156">
        <f t="shared" ref="J134:J139" si="65">+H134/E134</f>
        <v>0.9368355739400207</v>
      </c>
      <c r="K134" s="155">
        <v>55868</v>
      </c>
      <c r="L134" s="155">
        <v>52223</v>
      </c>
      <c r="M134" s="156">
        <f t="shared" si="63"/>
        <v>0.77032747328507412</v>
      </c>
      <c r="N134" s="157">
        <f t="shared" ref="N134:N139" si="66">K134/H134</f>
        <v>0.82226539503120222</v>
      </c>
    </row>
    <row r="135" spans="1:14" ht="12.75" customHeight="1" x14ac:dyDescent="0.2">
      <c r="A135" s="687"/>
      <c r="B135" s="691" t="s">
        <v>49</v>
      </c>
      <c r="C135" s="158" t="s">
        <v>51</v>
      </c>
      <c r="D135" s="159">
        <v>147525</v>
      </c>
      <c r="E135" s="183">
        <v>68397</v>
      </c>
      <c r="F135" s="154">
        <f t="shared" si="64"/>
        <v>2.1568928461774641</v>
      </c>
      <c r="G135" s="653">
        <v>127834</v>
      </c>
      <c r="H135" s="162">
        <v>64113</v>
      </c>
      <c r="I135" s="163">
        <f t="shared" si="62"/>
        <v>0.86652431791221829</v>
      </c>
      <c r="J135" s="163">
        <f t="shared" si="65"/>
        <v>0.93736567393306724</v>
      </c>
      <c r="K135" s="162">
        <v>52990</v>
      </c>
      <c r="L135" s="162">
        <v>47876</v>
      </c>
      <c r="M135" s="163">
        <f t="shared" si="63"/>
        <v>0.77474158223313883</v>
      </c>
      <c r="N135" s="164">
        <f t="shared" si="66"/>
        <v>0.82650944426247408</v>
      </c>
    </row>
    <row r="136" spans="1:14" ht="12.75" customHeight="1" x14ac:dyDescent="0.2">
      <c r="A136" s="687"/>
      <c r="B136" s="711"/>
      <c r="C136" s="165" t="s">
        <v>52</v>
      </c>
      <c r="D136" s="166">
        <v>28791</v>
      </c>
      <c r="E136" s="184">
        <v>13357</v>
      </c>
      <c r="F136" s="154">
        <f t="shared" si="64"/>
        <v>2.1554989892940033</v>
      </c>
      <c r="G136" s="654">
        <v>24581</v>
      </c>
      <c r="H136" s="169">
        <v>11853</v>
      </c>
      <c r="I136" s="170">
        <f t="shared" si="62"/>
        <v>0.85377374874092593</v>
      </c>
      <c r="J136" s="170">
        <f t="shared" si="65"/>
        <v>0.88739986523920045</v>
      </c>
      <c r="K136" s="169">
        <v>5257</v>
      </c>
      <c r="L136" s="169">
        <v>4670</v>
      </c>
      <c r="M136" s="170">
        <f t="shared" si="63"/>
        <v>0.39357640188665122</v>
      </c>
      <c r="N136" s="171">
        <f t="shared" si="66"/>
        <v>0.44351640934784442</v>
      </c>
    </row>
    <row r="137" spans="1:14" ht="12.75" customHeight="1" x14ac:dyDescent="0.2">
      <c r="A137" s="687"/>
      <c r="B137" s="689" t="s">
        <v>53</v>
      </c>
      <c r="C137" s="690"/>
      <c r="D137" s="152">
        <f>D133-D134</f>
        <v>37001</v>
      </c>
      <c r="E137" s="182">
        <v>29852</v>
      </c>
      <c r="F137" s="154">
        <f t="shared" si="64"/>
        <v>1.2394814417794453</v>
      </c>
      <c r="G137" s="655">
        <f>G133-G134</f>
        <v>30906</v>
      </c>
      <c r="H137" s="152">
        <v>25967</v>
      </c>
      <c r="I137" s="156">
        <f t="shared" si="62"/>
        <v>0.8352747223048026</v>
      </c>
      <c r="J137" s="156">
        <f t="shared" si="65"/>
        <v>0.86985796596542941</v>
      </c>
      <c r="K137" s="155">
        <v>20208</v>
      </c>
      <c r="L137" s="155">
        <v>18095</v>
      </c>
      <c r="M137" s="156">
        <f t="shared" si="63"/>
        <v>0.67693956853812143</v>
      </c>
      <c r="N137" s="157">
        <f t="shared" si="66"/>
        <v>0.77821850810644277</v>
      </c>
    </row>
    <row r="138" spans="1:14" ht="12.75" customHeight="1" x14ac:dyDescent="0.2">
      <c r="A138" s="687"/>
      <c r="B138" s="691" t="s">
        <v>49</v>
      </c>
      <c r="C138" s="158" t="s">
        <v>51</v>
      </c>
      <c r="D138" s="159">
        <v>35935</v>
      </c>
      <c r="E138" s="183">
        <v>29234</v>
      </c>
      <c r="F138" s="154">
        <f t="shared" si="64"/>
        <v>1.2292194020660874</v>
      </c>
      <c r="G138" s="653">
        <v>30034</v>
      </c>
      <c r="H138" s="162">
        <v>25410</v>
      </c>
      <c r="I138" s="163">
        <f t="shared" si="62"/>
        <v>0.83578683734520665</v>
      </c>
      <c r="J138" s="163">
        <f t="shared" si="65"/>
        <v>0.86919340493945407</v>
      </c>
      <c r="K138" s="162">
        <v>19765</v>
      </c>
      <c r="L138" s="162">
        <v>17664</v>
      </c>
      <c r="M138" s="163">
        <f t="shared" si="63"/>
        <v>0.67609632619552573</v>
      </c>
      <c r="N138" s="164">
        <f t="shared" si="66"/>
        <v>0.77784336875245963</v>
      </c>
    </row>
    <row r="139" spans="1:14" ht="12.75" customHeight="1" thickBot="1" x14ac:dyDescent="0.25">
      <c r="A139" s="688"/>
      <c r="B139" s="693"/>
      <c r="C139" s="185" t="s">
        <v>52</v>
      </c>
      <c r="D139" s="186">
        <v>1066</v>
      </c>
      <c r="E139" s="187">
        <v>852</v>
      </c>
      <c r="F139" s="188">
        <f t="shared" si="64"/>
        <v>1.2511737089201878</v>
      </c>
      <c r="G139" s="656">
        <v>872</v>
      </c>
      <c r="H139" s="189">
        <v>734</v>
      </c>
      <c r="I139" s="190">
        <f t="shared" si="62"/>
        <v>0.81801125703564725</v>
      </c>
      <c r="J139" s="190">
        <f t="shared" si="65"/>
        <v>0.86150234741784038</v>
      </c>
      <c r="K139" s="189">
        <v>493</v>
      </c>
      <c r="L139" s="189">
        <v>440</v>
      </c>
      <c r="M139" s="190">
        <f t="shared" si="63"/>
        <v>0.57863849765258213</v>
      </c>
      <c r="N139" s="191">
        <f t="shared" si="66"/>
        <v>0.67166212534059944</v>
      </c>
    </row>
    <row r="140" spans="1:14" ht="12.75" customHeight="1" thickTop="1" thickBot="1" x14ac:dyDescent="0.25">
      <c r="A140" s="701" t="s">
        <v>586</v>
      </c>
      <c r="B140" s="702"/>
      <c r="C140" s="702"/>
      <c r="D140" s="702"/>
      <c r="E140" s="702"/>
      <c r="F140" s="702"/>
      <c r="G140" s="702"/>
      <c r="H140" s="702"/>
      <c r="I140" s="702"/>
      <c r="J140" s="702"/>
      <c r="K140" s="702"/>
      <c r="L140" s="702"/>
      <c r="M140" s="702"/>
      <c r="N140" s="703"/>
    </row>
    <row r="141" spans="1:14" ht="12.75" customHeight="1" x14ac:dyDescent="0.2">
      <c r="A141" s="180" t="s">
        <v>48</v>
      </c>
      <c r="B141" s="145"/>
      <c r="C141" s="145"/>
      <c r="D141" s="146">
        <v>204053</v>
      </c>
      <c r="E141" s="181">
        <v>95137</v>
      </c>
      <c r="F141" s="148">
        <f>D141/E141</f>
        <v>2.1448332404847745</v>
      </c>
      <c r="G141" s="651">
        <v>174937</v>
      </c>
      <c r="H141" s="149">
        <v>88116</v>
      </c>
      <c r="I141" s="150">
        <f t="shared" ref="I141:I147" si="67">G141/D141</f>
        <v>0.85731158081478831</v>
      </c>
      <c r="J141" s="150">
        <f>+H141/E141</f>
        <v>0.92620116253402984</v>
      </c>
      <c r="K141" s="149">
        <v>73350</v>
      </c>
      <c r="L141" s="149">
        <v>68753</v>
      </c>
      <c r="M141" s="150">
        <f t="shared" ref="M141:M147" si="68">+K141/E141</f>
        <v>0.77099340950418871</v>
      </c>
      <c r="N141" s="151">
        <f>K141/H141</f>
        <v>0.83242543919378997</v>
      </c>
    </row>
    <row r="142" spans="1:14" ht="12.75" customHeight="1" x14ac:dyDescent="0.2">
      <c r="A142" s="686" t="s">
        <v>49</v>
      </c>
      <c r="B142" s="689" t="s">
        <v>50</v>
      </c>
      <c r="C142" s="690"/>
      <c r="D142" s="152">
        <v>170345</v>
      </c>
      <c r="E142" s="182">
        <v>71584</v>
      </c>
      <c r="F142" s="154">
        <f t="shared" ref="F142:F147" si="69">D142/E142</f>
        <v>2.3796518775145286</v>
      </c>
      <c r="G142" s="652">
        <v>146902</v>
      </c>
      <c r="H142" s="155">
        <v>67232</v>
      </c>
      <c r="I142" s="156">
        <f t="shared" si="67"/>
        <v>0.86237928908978834</v>
      </c>
      <c r="J142" s="156">
        <f t="shared" ref="J142:J147" si="70">+H142/E142</f>
        <v>0.93920429146177919</v>
      </c>
      <c r="K142" s="155">
        <v>55845</v>
      </c>
      <c r="L142" s="155">
        <v>52278</v>
      </c>
      <c r="M142" s="156">
        <f t="shared" si="68"/>
        <v>0.78013243182834158</v>
      </c>
      <c r="N142" s="157">
        <f t="shared" ref="N142:N147" si="71">K142/H142</f>
        <v>0.83063124702522606</v>
      </c>
    </row>
    <row r="143" spans="1:14" ht="12.75" customHeight="1" x14ac:dyDescent="0.2">
      <c r="A143" s="687"/>
      <c r="B143" s="691" t="s">
        <v>49</v>
      </c>
      <c r="C143" s="158" t="s">
        <v>51</v>
      </c>
      <c r="D143" s="159">
        <v>143096</v>
      </c>
      <c r="E143" s="183">
        <v>67609</v>
      </c>
      <c r="F143" s="161">
        <f t="shared" si="69"/>
        <v>2.1165229481282077</v>
      </c>
      <c r="G143" s="653">
        <v>123816</v>
      </c>
      <c r="H143" s="162">
        <v>63523</v>
      </c>
      <c r="I143" s="163">
        <f t="shared" si="67"/>
        <v>0.86526527645776263</v>
      </c>
      <c r="J143" s="163">
        <f t="shared" si="70"/>
        <v>0.93956425919626085</v>
      </c>
      <c r="K143" s="162">
        <v>52756</v>
      </c>
      <c r="L143" s="162">
        <v>47871</v>
      </c>
      <c r="M143" s="163">
        <f t="shared" si="68"/>
        <v>0.78031031371562953</v>
      </c>
      <c r="N143" s="164">
        <f t="shared" si="71"/>
        <v>0.83050233773593818</v>
      </c>
    </row>
    <row r="144" spans="1:14" ht="12.75" customHeight="1" x14ac:dyDescent="0.2">
      <c r="A144" s="687"/>
      <c r="B144" s="711"/>
      <c r="C144" s="165" t="s">
        <v>52</v>
      </c>
      <c r="D144" s="166">
        <v>27249</v>
      </c>
      <c r="E144" s="184">
        <v>12846</v>
      </c>
      <c r="F144" s="168">
        <f t="shared" si="69"/>
        <v>2.1212050443717887</v>
      </c>
      <c r="G144" s="654">
        <v>23086</v>
      </c>
      <c r="H144" s="169">
        <v>11466</v>
      </c>
      <c r="I144" s="170">
        <f t="shared" si="67"/>
        <v>0.84722375133032402</v>
      </c>
      <c r="J144" s="170">
        <f t="shared" si="70"/>
        <v>0.89257356375525454</v>
      </c>
      <c r="K144" s="169">
        <v>5405</v>
      </c>
      <c r="L144" s="169">
        <v>4758</v>
      </c>
      <c r="M144" s="170">
        <f t="shared" si="68"/>
        <v>0.42075354195858633</v>
      </c>
      <c r="N144" s="171">
        <f t="shared" si="71"/>
        <v>0.47139368567939999</v>
      </c>
    </row>
    <row r="145" spans="1:14" ht="12.75" customHeight="1" x14ac:dyDescent="0.2">
      <c r="A145" s="687"/>
      <c r="B145" s="689" t="s">
        <v>53</v>
      </c>
      <c r="C145" s="690"/>
      <c r="D145" s="152">
        <v>33708</v>
      </c>
      <c r="E145" s="182">
        <v>27407</v>
      </c>
      <c r="F145" s="154">
        <f t="shared" si="69"/>
        <v>1.2299047688546723</v>
      </c>
      <c r="G145" s="655">
        <v>28035</v>
      </c>
      <c r="H145" s="152">
        <v>23851</v>
      </c>
      <c r="I145" s="156">
        <f t="shared" si="67"/>
        <v>0.83170167319330723</v>
      </c>
      <c r="J145" s="156">
        <f t="shared" si="70"/>
        <v>0.8702521253694312</v>
      </c>
      <c r="K145" s="155">
        <v>18752</v>
      </c>
      <c r="L145" s="155">
        <v>16849</v>
      </c>
      <c r="M145" s="156">
        <f t="shared" si="68"/>
        <v>0.68420476520596929</v>
      </c>
      <c r="N145" s="157">
        <f t="shared" si="71"/>
        <v>0.78621441448995855</v>
      </c>
    </row>
    <row r="146" spans="1:14" ht="12.75" customHeight="1" x14ac:dyDescent="0.2">
      <c r="A146" s="687"/>
      <c r="B146" s="691" t="s">
        <v>49</v>
      </c>
      <c r="C146" s="158" t="s">
        <v>51</v>
      </c>
      <c r="D146" s="159">
        <v>32504</v>
      </c>
      <c r="E146" s="183">
        <v>26722</v>
      </c>
      <c r="F146" s="161">
        <f t="shared" si="69"/>
        <v>1.2163760197590001</v>
      </c>
      <c r="G146" s="653">
        <v>27085</v>
      </c>
      <c r="H146" s="162">
        <v>23240</v>
      </c>
      <c r="I146" s="163">
        <f t="shared" si="67"/>
        <v>0.83328205759291163</v>
      </c>
      <c r="J146" s="163">
        <f t="shared" si="70"/>
        <v>0.86969538208217945</v>
      </c>
      <c r="K146" s="162">
        <v>18238</v>
      </c>
      <c r="L146" s="162">
        <v>16355</v>
      </c>
      <c r="M146" s="163">
        <f t="shared" si="68"/>
        <v>0.68250879425192723</v>
      </c>
      <c r="N146" s="164">
        <f t="shared" si="71"/>
        <v>0.78476764199655769</v>
      </c>
    </row>
    <row r="147" spans="1:14" ht="12.75" customHeight="1" thickBot="1" x14ac:dyDescent="0.25">
      <c r="A147" s="688"/>
      <c r="B147" s="693"/>
      <c r="C147" s="185" t="s">
        <v>52</v>
      </c>
      <c r="D147" s="186">
        <v>1204</v>
      </c>
      <c r="E147" s="187">
        <v>937</v>
      </c>
      <c r="F147" s="188">
        <f t="shared" si="69"/>
        <v>1.2849519743863393</v>
      </c>
      <c r="G147" s="656">
        <v>950</v>
      </c>
      <c r="H147" s="189">
        <v>802</v>
      </c>
      <c r="I147" s="190">
        <f t="shared" si="67"/>
        <v>0.78903654485049834</v>
      </c>
      <c r="J147" s="190">
        <f t="shared" si="70"/>
        <v>0.85592315901814298</v>
      </c>
      <c r="K147" s="189">
        <v>566</v>
      </c>
      <c r="L147" s="189">
        <v>509</v>
      </c>
      <c r="M147" s="190">
        <f t="shared" si="68"/>
        <v>0.60405549626467447</v>
      </c>
      <c r="N147" s="191">
        <f t="shared" si="71"/>
        <v>0.70573566084788031</v>
      </c>
    </row>
    <row r="148" spans="1:14" ht="14.25" thickTop="1" thickBot="1" x14ac:dyDescent="0.25">
      <c r="A148" s="701" t="s">
        <v>591</v>
      </c>
      <c r="B148" s="702"/>
      <c r="C148" s="702"/>
      <c r="D148" s="702"/>
      <c r="E148" s="702"/>
      <c r="F148" s="702"/>
      <c r="G148" s="702"/>
      <c r="H148" s="702"/>
      <c r="I148" s="702"/>
      <c r="J148" s="702"/>
      <c r="K148" s="702"/>
      <c r="L148" s="702"/>
      <c r="M148" s="702"/>
      <c r="N148" s="703"/>
    </row>
    <row r="149" spans="1:14" x14ac:dyDescent="0.2">
      <c r="A149" s="180" t="s">
        <v>48</v>
      </c>
      <c r="B149" s="145"/>
      <c r="C149" s="145"/>
      <c r="D149" s="146">
        <v>211447</v>
      </c>
      <c r="E149" s="181">
        <v>98127</v>
      </c>
      <c r="F149" s="148">
        <f>D149/E149</f>
        <v>2.1548299652491161</v>
      </c>
      <c r="G149" s="651">
        <v>183098</v>
      </c>
      <c r="H149" s="149">
        <v>91750</v>
      </c>
      <c r="I149" s="150">
        <f t="shared" ref="I149:I155" si="72">G149/D149</f>
        <v>0.86592857784693089</v>
      </c>
      <c r="J149" s="150">
        <f>+H149/E149</f>
        <v>0.93501278954823852</v>
      </c>
      <c r="K149" s="149">
        <v>77485</v>
      </c>
      <c r="L149" s="149">
        <v>72730</v>
      </c>
      <c r="M149" s="150">
        <f t="shared" ref="M149:M155" si="73">+K149/E149</f>
        <v>0.78963995638305462</v>
      </c>
      <c r="N149" s="151">
        <f>K149/H149</f>
        <v>0.84452316076294276</v>
      </c>
    </row>
    <row r="150" spans="1:14" x14ac:dyDescent="0.2">
      <c r="A150" s="686" t="s">
        <v>49</v>
      </c>
      <c r="B150" s="689" t="s">
        <v>50</v>
      </c>
      <c r="C150" s="690"/>
      <c r="D150" s="152">
        <v>178803</v>
      </c>
      <c r="E150" s="182">
        <v>75210</v>
      </c>
      <c r="F150" s="154">
        <f t="shared" ref="F150:F155" si="74">D150/E150</f>
        <v>2.3773833266852811</v>
      </c>
      <c r="G150" s="652">
        <v>154901</v>
      </c>
      <c r="H150" s="155">
        <v>71076</v>
      </c>
      <c r="I150" s="156">
        <f t="shared" si="72"/>
        <v>0.86632215343143015</v>
      </c>
      <c r="J150" s="156">
        <f t="shared" ref="J150:J155" si="75">+H150/E150</f>
        <v>0.94503390506581575</v>
      </c>
      <c r="K150" s="155">
        <v>60000</v>
      </c>
      <c r="L150" s="155">
        <v>56504</v>
      </c>
      <c r="M150" s="156">
        <f t="shared" si="73"/>
        <v>0.79776625448743521</v>
      </c>
      <c r="N150" s="157">
        <f t="shared" ref="N150:N155" si="76">K150/H150</f>
        <v>0.84416680736113459</v>
      </c>
    </row>
    <row r="151" spans="1:14" x14ac:dyDescent="0.2">
      <c r="A151" s="687"/>
      <c r="B151" s="691" t="s">
        <v>49</v>
      </c>
      <c r="C151" s="158" t="s">
        <v>51</v>
      </c>
      <c r="D151" s="159">
        <v>150663</v>
      </c>
      <c r="E151" s="183">
        <v>71323</v>
      </c>
      <c r="F151" s="161">
        <f t="shared" si="74"/>
        <v>2.1124041333090307</v>
      </c>
      <c r="G151" s="653">
        <v>131428</v>
      </c>
      <c r="H151" s="162">
        <v>67384</v>
      </c>
      <c r="I151" s="163">
        <f t="shared" si="72"/>
        <v>0.87233096380664132</v>
      </c>
      <c r="J151" s="163">
        <f t="shared" si="75"/>
        <v>0.94477237356813371</v>
      </c>
      <c r="K151" s="162">
        <v>56935</v>
      </c>
      <c r="L151" s="162">
        <v>51818</v>
      </c>
      <c r="M151" s="163">
        <f t="shared" si="73"/>
        <v>0.79826984282769931</v>
      </c>
      <c r="N151" s="164">
        <f t="shared" si="76"/>
        <v>0.84493351537456962</v>
      </c>
    </row>
    <row r="152" spans="1:14" x14ac:dyDescent="0.2">
      <c r="A152" s="687"/>
      <c r="B152" s="711"/>
      <c r="C152" s="165" t="s">
        <v>52</v>
      </c>
      <c r="D152" s="166">
        <v>28140</v>
      </c>
      <c r="E152" s="184">
        <v>13049</v>
      </c>
      <c r="F152" s="168">
        <f t="shared" si="74"/>
        <v>2.1564870871331134</v>
      </c>
      <c r="G152" s="654">
        <v>23473</v>
      </c>
      <c r="H152" s="169">
        <v>11725</v>
      </c>
      <c r="I152" s="170">
        <f t="shared" si="72"/>
        <v>0.83415067519545127</v>
      </c>
      <c r="J152" s="170">
        <f t="shared" si="75"/>
        <v>0.898536286305464</v>
      </c>
      <c r="K152" s="169">
        <v>5699</v>
      </c>
      <c r="L152" s="169">
        <v>5081</v>
      </c>
      <c r="M152" s="170">
        <f t="shared" si="73"/>
        <v>0.43673844739060463</v>
      </c>
      <c r="N152" s="171">
        <f t="shared" si="76"/>
        <v>0.48605543710021321</v>
      </c>
    </row>
    <row r="153" spans="1:14" x14ac:dyDescent="0.2">
      <c r="A153" s="687"/>
      <c r="B153" s="689" t="s">
        <v>53</v>
      </c>
      <c r="C153" s="690"/>
      <c r="D153" s="152">
        <v>32644</v>
      </c>
      <c r="E153" s="182">
        <v>26516</v>
      </c>
      <c r="F153" s="154">
        <f t="shared" si="74"/>
        <v>1.2311057474732237</v>
      </c>
      <c r="G153" s="655">
        <v>27536</v>
      </c>
      <c r="H153" s="152">
        <v>23277</v>
      </c>
      <c r="I153" s="156">
        <f t="shared" si="72"/>
        <v>0.84352407793162598</v>
      </c>
      <c r="J153" s="156">
        <f t="shared" si="75"/>
        <v>0.87784733745662991</v>
      </c>
      <c r="K153" s="155">
        <v>18686</v>
      </c>
      <c r="L153" s="155">
        <v>16593</v>
      </c>
      <c r="M153" s="156">
        <f t="shared" si="73"/>
        <v>0.70470659224619103</v>
      </c>
      <c r="N153" s="157">
        <f t="shared" si="76"/>
        <v>0.80276667955492542</v>
      </c>
    </row>
    <row r="154" spans="1:14" x14ac:dyDescent="0.2">
      <c r="A154" s="687"/>
      <c r="B154" s="691" t="s">
        <v>49</v>
      </c>
      <c r="C154" s="158" t="s">
        <v>51</v>
      </c>
      <c r="D154" s="159">
        <v>31347</v>
      </c>
      <c r="E154" s="183">
        <v>25792</v>
      </c>
      <c r="F154" s="161">
        <f t="shared" si="74"/>
        <v>1.2153768610421836</v>
      </c>
      <c r="G154" s="653">
        <v>26457</v>
      </c>
      <c r="H154" s="162">
        <v>22632</v>
      </c>
      <c r="I154" s="163">
        <f t="shared" si="72"/>
        <v>0.84400421092927558</v>
      </c>
      <c r="J154" s="163">
        <f t="shared" si="75"/>
        <v>0.8774813895781638</v>
      </c>
      <c r="K154" s="162">
        <v>18228</v>
      </c>
      <c r="L154" s="162">
        <v>16140</v>
      </c>
      <c r="M154" s="163">
        <f t="shared" si="73"/>
        <v>0.70673076923076927</v>
      </c>
      <c r="N154" s="164">
        <f t="shared" si="76"/>
        <v>0.80540827147401906</v>
      </c>
    </row>
    <row r="155" spans="1:14" ht="13.5" thickBot="1" x14ac:dyDescent="0.25">
      <c r="A155" s="688"/>
      <c r="B155" s="693"/>
      <c r="C155" s="185" t="s">
        <v>52</v>
      </c>
      <c r="D155" s="186">
        <v>1297</v>
      </c>
      <c r="E155" s="187">
        <v>988</v>
      </c>
      <c r="F155" s="188">
        <f t="shared" si="74"/>
        <v>1.3127530364372471</v>
      </c>
      <c r="G155" s="656">
        <v>1079</v>
      </c>
      <c r="H155" s="189">
        <v>837</v>
      </c>
      <c r="I155" s="190">
        <f t="shared" si="72"/>
        <v>0.83191981495759448</v>
      </c>
      <c r="J155" s="190">
        <f t="shared" si="75"/>
        <v>0.84716599190283404</v>
      </c>
      <c r="K155" s="189">
        <v>507</v>
      </c>
      <c r="L155" s="189">
        <v>459</v>
      </c>
      <c r="M155" s="190">
        <f t="shared" si="73"/>
        <v>0.51315789473684215</v>
      </c>
      <c r="N155" s="191">
        <f t="shared" si="76"/>
        <v>0.60573476702508966</v>
      </c>
    </row>
    <row r="156" spans="1:14" ht="14.25" thickTop="1" thickBot="1" x14ac:dyDescent="0.25">
      <c r="A156" s="682" t="s">
        <v>593</v>
      </c>
      <c r="B156" s="683"/>
      <c r="C156" s="683"/>
      <c r="D156" s="683"/>
      <c r="E156" s="683"/>
      <c r="F156" s="683"/>
      <c r="G156" s="683"/>
      <c r="H156" s="683"/>
      <c r="I156" s="683"/>
      <c r="J156" s="683"/>
      <c r="K156" s="683"/>
      <c r="L156" s="683"/>
      <c r="M156" s="683"/>
      <c r="N156" s="694"/>
    </row>
    <row r="157" spans="1:14" x14ac:dyDescent="0.2">
      <c r="A157" s="180" t="s">
        <v>48</v>
      </c>
      <c r="B157" s="145"/>
      <c r="C157" s="145"/>
      <c r="D157" s="146">
        <v>211447</v>
      </c>
      <c r="E157" s="181">
        <v>98868</v>
      </c>
      <c r="F157" s="148">
        <f>D157/E157</f>
        <v>2.1386798559695754</v>
      </c>
      <c r="G157" s="651">
        <v>189903</v>
      </c>
      <c r="H157" s="149">
        <v>94769</v>
      </c>
      <c r="I157" s="150">
        <f t="shared" ref="I157:I163" si="77">G157/D157</f>
        <v>0.89811158351738263</v>
      </c>
      <c r="J157" s="150">
        <f>+H157/E157</f>
        <v>0.95854068050329733</v>
      </c>
      <c r="K157" s="149">
        <v>79800</v>
      </c>
      <c r="L157" s="149">
        <v>75605</v>
      </c>
      <c r="M157" s="150">
        <f t="shared" ref="M157:M163" si="78">+K157/E157</f>
        <v>0.80713678844519965</v>
      </c>
      <c r="N157" s="151">
        <f>K157/H157</f>
        <v>0.8420475049858076</v>
      </c>
    </row>
    <row r="158" spans="1:14" x14ac:dyDescent="0.2">
      <c r="A158" s="686" t="s">
        <v>49</v>
      </c>
      <c r="B158" s="689" t="s">
        <v>50</v>
      </c>
      <c r="C158" s="690"/>
      <c r="D158" s="152">
        <v>178906</v>
      </c>
      <c r="E158" s="182">
        <v>75820</v>
      </c>
      <c r="F158" s="154">
        <f t="shared" ref="F158:F163" si="79">D158/E158</f>
        <v>2.359614877341071</v>
      </c>
      <c r="G158" s="652">
        <v>160474</v>
      </c>
      <c r="H158" s="155">
        <v>73020</v>
      </c>
      <c r="I158" s="156">
        <f t="shared" si="77"/>
        <v>0.89697382983242602</v>
      </c>
      <c r="J158" s="156">
        <f t="shared" ref="J158:J163" si="80">+H158/E158</f>
        <v>0.96307042996570824</v>
      </c>
      <c r="K158" s="155">
        <v>61660</v>
      </c>
      <c r="L158" s="155">
        <v>58513</v>
      </c>
      <c r="M158" s="156">
        <f t="shared" si="78"/>
        <v>0.8132418886837246</v>
      </c>
      <c r="N158" s="157">
        <f t="shared" ref="N158:N163" si="81">K158/H158</f>
        <v>0.84442618460695695</v>
      </c>
    </row>
    <row r="159" spans="1:14" x14ac:dyDescent="0.2">
      <c r="A159" s="687"/>
      <c r="B159" s="691" t="s">
        <v>49</v>
      </c>
      <c r="C159" s="158" t="s">
        <v>51</v>
      </c>
      <c r="D159" s="159">
        <v>151937</v>
      </c>
      <c r="E159" s="183">
        <v>72137</v>
      </c>
      <c r="F159" s="161">
        <f t="shared" si="79"/>
        <v>2.1062284264663074</v>
      </c>
      <c r="G159" s="653">
        <v>136711</v>
      </c>
      <c r="H159" s="162">
        <v>69415</v>
      </c>
      <c r="I159" s="163">
        <f t="shared" si="77"/>
        <v>0.89978741188782196</v>
      </c>
      <c r="J159" s="163">
        <f t="shared" si="80"/>
        <v>0.96226624339797884</v>
      </c>
      <c r="K159" s="162">
        <v>58321</v>
      </c>
      <c r="L159" s="162">
        <v>53893</v>
      </c>
      <c r="M159" s="163">
        <f t="shared" si="78"/>
        <v>0.80847553959826446</v>
      </c>
      <c r="N159" s="164">
        <f t="shared" si="81"/>
        <v>0.84017863574155438</v>
      </c>
    </row>
    <row r="160" spans="1:14" x14ac:dyDescent="0.2">
      <c r="A160" s="687"/>
      <c r="B160" s="692"/>
      <c r="C160" s="165" t="s">
        <v>52</v>
      </c>
      <c r="D160" s="166">
        <v>26969</v>
      </c>
      <c r="E160" s="184">
        <v>12472</v>
      </c>
      <c r="F160" s="168">
        <f t="shared" si="79"/>
        <v>2.1623636946760745</v>
      </c>
      <c r="G160" s="654">
        <v>23763</v>
      </c>
      <c r="H160" s="169">
        <v>11523</v>
      </c>
      <c r="I160" s="170">
        <f t="shared" si="77"/>
        <v>0.88112277058845345</v>
      </c>
      <c r="J160" s="170">
        <f t="shared" si="80"/>
        <v>0.92390955740859526</v>
      </c>
      <c r="K160" s="169">
        <v>5605</v>
      </c>
      <c r="L160" s="169">
        <v>5037</v>
      </c>
      <c r="M160" s="170">
        <f t="shared" si="78"/>
        <v>0.44940667094291215</v>
      </c>
      <c r="N160" s="171">
        <f t="shared" si="81"/>
        <v>0.4864184674130001</v>
      </c>
    </row>
    <row r="161" spans="1:16" ht="13.5" thickBot="1" x14ac:dyDescent="0.25">
      <c r="A161" s="687"/>
      <c r="B161" s="689" t="s">
        <v>53</v>
      </c>
      <c r="C161" s="690"/>
      <c r="D161" s="152">
        <v>32541</v>
      </c>
      <c r="E161" s="182">
        <v>26748</v>
      </c>
      <c r="F161" s="154">
        <f t="shared" si="79"/>
        <v>1.2165769403319875</v>
      </c>
      <c r="G161" s="655">
        <v>29429</v>
      </c>
      <c r="H161" s="155">
        <v>24908</v>
      </c>
      <c r="I161" s="156">
        <f t="shared" si="77"/>
        <v>0.90436679880765802</v>
      </c>
      <c r="J161" s="156">
        <f t="shared" si="80"/>
        <v>0.93120981007925829</v>
      </c>
      <c r="K161" s="155">
        <v>19523</v>
      </c>
      <c r="L161" s="155">
        <v>17521</v>
      </c>
      <c r="M161" s="156">
        <f t="shared" si="78"/>
        <v>0.72988634664273966</v>
      </c>
      <c r="N161" s="157">
        <f t="shared" si="81"/>
        <v>0.78380440019270914</v>
      </c>
    </row>
    <row r="162" spans="1:16" ht="13.5" thickTop="1" x14ac:dyDescent="0.2">
      <c r="A162" s="687"/>
      <c r="B162" s="691" t="s">
        <v>49</v>
      </c>
      <c r="C162" s="158" t="s">
        <v>51</v>
      </c>
      <c r="D162" s="159">
        <v>31396</v>
      </c>
      <c r="E162" s="183">
        <v>26104</v>
      </c>
      <c r="F162" s="161">
        <f t="shared" si="79"/>
        <v>1.202727551333129</v>
      </c>
      <c r="G162" s="653">
        <v>28443</v>
      </c>
      <c r="H162" s="162">
        <v>24308</v>
      </c>
      <c r="I162" s="163">
        <f t="shared" si="77"/>
        <v>0.90594343228436747</v>
      </c>
      <c r="J162" s="163">
        <f t="shared" si="80"/>
        <v>0.93119828378792524</v>
      </c>
      <c r="K162" s="162">
        <v>19114</v>
      </c>
      <c r="L162" s="162">
        <v>17095</v>
      </c>
      <c r="M162" s="163">
        <f t="shared" si="78"/>
        <v>0.73222494636837265</v>
      </c>
      <c r="N162" s="164">
        <f t="shared" si="81"/>
        <v>0.7863254895507652</v>
      </c>
      <c r="O162" s="695" t="s">
        <v>597</v>
      </c>
      <c r="P162" s="698" t="s">
        <v>598</v>
      </c>
    </row>
    <row r="163" spans="1:16" ht="13.5" customHeight="1" thickBot="1" x14ac:dyDescent="0.25">
      <c r="A163" s="688"/>
      <c r="B163" s="693"/>
      <c r="C163" s="185" t="s">
        <v>52</v>
      </c>
      <c r="D163" s="186">
        <v>1145</v>
      </c>
      <c r="E163" s="187">
        <v>919</v>
      </c>
      <c r="F163" s="188">
        <f t="shared" si="79"/>
        <v>1.2459194776931448</v>
      </c>
      <c r="G163" s="656">
        <v>986</v>
      </c>
      <c r="H163" s="189">
        <v>825</v>
      </c>
      <c r="I163" s="190">
        <f t="shared" si="77"/>
        <v>0.86113537117903927</v>
      </c>
      <c r="J163" s="190">
        <f t="shared" si="80"/>
        <v>0.89771490750816108</v>
      </c>
      <c r="K163" s="189">
        <v>472</v>
      </c>
      <c r="L163" s="189">
        <v>432</v>
      </c>
      <c r="M163" s="190">
        <f t="shared" si="78"/>
        <v>0.51360174102285094</v>
      </c>
      <c r="N163" s="191">
        <f t="shared" si="81"/>
        <v>0.57212121212121214</v>
      </c>
      <c r="O163" s="696"/>
      <c r="P163" s="699"/>
    </row>
    <row r="164" spans="1:16" ht="14.25" customHeight="1" thickTop="1" thickBot="1" x14ac:dyDescent="0.25">
      <c r="A164" s="682" t="s">
        <v>596</v>
      </c>
      <c r="B164" s="683"/>
      <c r="C164" s="683"/>
      <c r="D164" s="683"/>
      <c r="E164" s="683"/>
      <c r="F164" s="683"/>
      <c r="G164" s="683"/>
      <c r="H164" s="683"/>
      <c r="I164" s="683"/>
      <c r="J164" s="683"/>
      <c r="K164" s="683"/>
      <c r="L164" s="683"/>
      <c r="M164" s="683"/>
      <c r="N164" s="694"/>
      <c r="O164" s="697"/>
      <c r="P164" s="700"/>
    </row>
    <row r="165" spans="1:16" x14ac:dyDescent="0.2">
      <c r="A165" s="180" t="s">
        <v>48</v>
      </c>
      <c r="B165" s="145"/>
      <c r="C165" s="145"/>
      <c r="D165" s="146">
        <v>228483</v>
      </c>
      <c r="E165" s="181">
        <v>102355</v>
      </c>
      <c r="F165" s="148">
        <f>D165/E165</f>
        <v>2.2322602706267403</v>
      </c>
      <c r="G165" s="651">
        <v>201516</v>
      </c>
      <c r="H165" s="149">
        <v>97078</v>
      </c>
      <c r="I165" s="150">
        <f t="shared" ref="I165:I171" si="82">G165/D165</f>
        <v>0.88197371358044141</v>
      </c>
      <c r="J165" s="150">
        <f>+H165/E165</f>
        <v>0.94844414049142689</v>
      </c>
      <c r="K165" s="149">
        <v>79621</v>
      </c>
      <c r="L165" s="149">
        <v>75265</v>
      </c>
      <c r="M165" s="150">
        <f t="shared" ref="M165:M171" si="83">+K165/E165</f>
        <v>0.77789067461286698</v>
      </c>
      <c r="N165" s="151">
        <f>K165/H165</f>
        <v>0.82017552895609713</v>
      </c>
      <c r="O165" s="150">
        <v>0.79976550000000002</v>
      </c>
      <c r="P165" s="151">
        <v>0.84323945693153957</v>
      </c>
    </row>
    <row r="166" spans="1:16" x14ac:dyDescent="0.2">
      <c r="A166" s="686" t="s">
        <v>49</v>
      </c>
      <c r="B166" s="689" t="s">
        <v>50</v>
      </c>
      <c r="C166" s="690"/>
      <c r="D166" s="152">
        <v>190376</v>
      </c>
      <c r="E166" s="182">
        <v>76893</v>
      </c>
      <c r="F166" s="154">
        <f t="shared" ref="F166:F171" si="84">D166/E166</f>
        <v>2.4758560597193502</v>
      </c>
      <c r="G166" s="652">
        <v>168196</v>
      </c>
      <c r="H166" s="155">
        <v>73635</v>
      </c>
      <c r="I166" s="156">
        <f t="shared" si="82"/>
        <v>0.88349371769550789</v>
      </c>
      <c r="J166" s="156">
        <f t="shared" ref="J166:J171" si="85">+H166/E166</f>
        <v>0.95762943310834536</v>
      </c>
      <c r="K166" s="155">
        <v>61019</v>
      </c>
      <c r="L166" s="155">
        <v>58123</v>
      </c>
      <c r="M166" s="156">
        <f t="shared" si="83"/>
        <v>0.79355728089683064</v>
      </c>
      <c r="N166" s="157">
        <f t="shared" ref="N166:N171" si="86">K166/H166</f>
        <v>0.82866843213145924</v>
      </c>
      <c r="O166" s="156">
        <v>0.81721350000000004</v>
      </c>
      <c r="P166" s="157">
        <v>0.85337130000000005</v>
      </c>
    </row>
    <row r="167" spans="1:16" x14ac:dyDescent="0.2">
      <c r="A167" s="687"/>
      <c r="B167" s="691" t="s">
        <v>49</v>
      </c>
      <c r="C167" s="158" t="s">
        <v>51</v>
      </c>
      <c r="D167" s="159">
        <v>161621</v>
      </c>
      <c r="E167" s="183">
        <v>72971</v>
      </c>
      <c r="F167" s="161">
        <f t="shared" si="84"/>
        <v>2.2148661797152291</v>
      </c>
      <c r="G167" s="653">
        <v>144090</v>
      </c>
      <c r="H167" s="162">
        <v>69819</v>
      </c>
      <c r="I167" s="163">
        <f t="shared" si="82"/>
        <v>0.89153018481509205</v>
      </c>
      <c r="J167" s="163">
        <f t="shared" si="85"/>
        <v>0.95680475805456966</v>
      </c>
      <c r="K167" s="162">
        <v>57376</v>
      </c>
      <c r="L167" s="162">
        <v>53310</v>
      </c>
      <c r="M167" s="163">
        <f t="shared" si="83"/>
        <v>0.78628496251935698</v>
      </c>
      <c r="N167" s="164">
        <f t="shared" si="86"/>
        <v>0.82178203640842751</v>
      </c>
      <c r="O167" s="163">
        <v>0.82022989999999996</v>
      </c>
      <c r="P167" s="164">
        <v>0.85759399999999997</v>
      </c>
    </row>
    <row r="168" spans="1:16" x14ac:dyDescent="0.2">
      <c r="A168" s="687"/>
      <c r="B168" s="692"/>
      <c r="C168" s="165" t="s">
        <v>52</v>
      </c>
      <c r="D168" s="166">
        <v>28755</v>
      </c>
      <c r="E168" s="184">
        <v>13123</v>
      </c>
      <c r="F168" s="168">
        <f t="shared" si="84"/>
        <v>2.1911910386344586</v>
      </c>
      <c r="G168" s="654">
        <v>24106</v>
      </c>
      <c r="H168" s="169">
        <v>11865</v>
      </c>
      <c r="I168" s="170">
        <f t="shared" si="82"/>
        <v>0.83832376977916889</v>
      </c>
      <c r="J168" s="170">
        <f t="shared" si="85"/>
        <v>0.90413777337499046</v>
      </c>
      <c r="K168" s="169">
        <v>5698</v>
      </c>
      <c r="L168" s="169">
        <v>5201</v>
      </c>
      <c r="M168" s="170">
        <f t="shared" si="83"/>
        <v>0.43419949706621963</v>
      </c>
      <c r="N168" s="171">
        <f t="shared" si="86"/>
        <v>0.48023598820058999</v>
      </c>
      <c r="O168" s="170">
        <v>0.45416440000000002</v>
      </c>
      <c r="P168" s="171">
        <v>0.50231769999999998</v>
      </c>
    </row>
    <row r="169" spans="1:16" x14ac:dyDescent="0.2">
      <c r="A169" s="687"/>
      <c r="B169" s="689" t="s">
        <v>53</v>
      </c>
      <c r="C169" s="690"/>
      <c r="D169" s="152">
        <v>38107</v>
      </c>
      <c r="E169" s="182">
        <v>29941</v>
      </c>
      <c r="F169" s="154">
        <f t="shared" si="84"/>
        <v>1.2727363815503825</v>
      </c>
      <c r="G169" s="655">
        <v>33320</v>
      </c>
      <c r="H169" s="155">
        <v>27132</v>
      </c>
      <c r="I169" s="156">
        <f t="shared" si="82"/>
        <v>0.87438003516414309</v>
      </c>
      <c r="J169" s="156">
        <f t="shared" si="85"/>
        <v>0.90618215824454762</v>
      </c>
      <c r="K169" s="155">
        <v>20146</v>
      </c>
      <c r="L169" s="155">
        <v>17530</v>
      </c>
      <c r="M169" s="156">
        <f t="shared" si="83"/>
        <v>0.6728566180154304</v>
      </c>
      <c r="N169" s="157">
        <f t="shared" si="86"/>
        <v>0.74251805985552111</v>
      </c>
      <c r="O169" s="156">
        <v>0.70719080000000001</v>
      </c>
      <c r="P169" s="157">
        <v>0.78040679999999996</v>
      </c>
    </row>
    <row r="170" spans="1:16" x14ac:dyDescent="0.2">
      <c r="A170" s="687"/>
      <c r="B170" s="691" t="s">
        <v>49</v>
      </c>
      <c r="C170" s="158" t="s">
        <v>51</v>
      </c>
      <c r="D170" s="159">
        <v>36381</v>
      </c>
      <c r="E170" s="183">
        <v>29033</v>
      </c>
      <c r="F170" s="161">
        <f t="shared" si="84"/>
        <v>1.2530913098887473</v>
      </c>
      <c r="G170" s="653">
        <v>31865</v>
      </c>
      <c r="H170" s="162">
        <v>26334</v>
      </c>
      <c r="I170" s="163">
        <f t="shared" si="82"/>
        <v>0.8758692724224183</v>
      </c>
      <c r="J170" s="163">
        <f t="shared" si="85"/>
        <v>0.90703682017015119</v>
      </c>
      <c r="K170" s="162">
        <v>19750</v>
      </c>
      <c r="L170" s="162">
        <v>17119</v>
      </c>
      <c r="M170" s="163">
        <f t="shared" si="83"/>
        <v>0.68026039334550337</v>
      </c>
      <c r="N170" s="164">
        <f t="shared" si="86"/>
        <v>0.74998101313890786</v>
      </c>
      <c r="O170" s="163">
        <v>0.7153583</v>
      </c>
      <c r="P170" s="164">
        <v>0.78867620000000005</v>
      </c>
    </row>
    <row r="171" spans="1:16" ht="13.5" thickBot="1" x14ac:dyDescent="0.25">
      <c r="A171" s="688"/>
      <c r="B171" s="693"/>
      <c r="C171" s="185" t="s">
        <v>52</v>
      </c>
      <c r="D171" s="186">
        <v>1726</v>
      </c>
      <c r="E171" s="187">
        <v>1340</v>
      </c>
      <c r="F171" s="188">
        <f t="shared" si="84"/>
        <v>1.2880597014925372</v>
      </c>
      <c r="G171" s="656">
        <v>1455</v>
      </c>
      <c r="H171" s="189">
        <v>1154</v>
      </c>
      <c r="I171" s="190">
        <f t="shared" si="82"/>
        <v>0.84298957126303597</v>
      </c>
      <c r="J171" s="190">
        <f t="shared" si="85"/>
        <v>0.86119402985074622</v>
      </c>
      <c r="K171" s="189">
        <v>475</v>
      </c>
      <c r="L171" s="189">
        <v>423</v>
      </c>
      <c r="M171" s="190">
        <f t="shared" si="83"/>
        <v>0.35447761194029853</v>
      </c>
      <c r="N171" s="191">
        <f t="shared" si="86"/>
        <v>0.41161178509532065</v>
      </c>
      <c r="O171" s="190">
        <v>0.3738805</v>
      </c>
      <c r="P171" s="191">
        <v>0.43414209999999998</v>
      </c>
    </row>
    <row r="172" spans="1:16" ht="16.5" thickTop="1" thickBot="1" x14ac:dyDescent="0.25">
      <c r="A172" s="682" t="s">
        <v>603</v>
      </c>
      <c r="B172" s="683"/>
      <c r="C172" s="683"/>
      <c r="D172" s="683"/>
      <c r="E172" s="683"/>
      <c r="F172" s="683"/>
      <c r="G172" s="683"/>
      <c r="H172" s="683"/>
      <c r="I172" s="683"/>
      <c r="J172" s="683"/>
      <c r="K172" s="683"/>
      <c r="L172" s="683"/>
      <c r="M172" s="683"/>
      <c r="N172" s="683"/>
      <c r="O172" s="684"/>
      <c r="P172" s="685"/>
    </row>
    <row r="173" spans="1:16" x14ac:dyDescent="0.2">
      <c r="A173" s="180" t="s">
        <v>48</v>
      </c>
      <c r="B173" s="145"/>
      <c r="C173" s="145"/>
      <c r="D173" s="146">
        <v>229775</v>
      </c>
      <c r="E173" s="181">
        <v>100748</v>
      </c>
      <c r="F173" s="148">
        <f>D173/E173</f>
        <v>2.2806904355421449</v>
      </c>
      <c r="G173" s="651">
        <v>196903</v>
      </c>
      <c r="H173" s="149">
        <v>93791</v>
      </c>
      <c r="I173" s="150">
        <f t="shared" ref="I173:I179" si="87">G173/D173</f>
        <v>0.85693830921553693</v>
      </c>
      <c r="J173" s="150">
        <f>+H173/E173</f>
        <v>0.93094652003017431</v>
      </c>
      <c r="K173" s="149">
        <v>76138</v>
      </c>
      <c r="L173" s="149">
        <v>72713</v>
      </c>
      <c r="M173" s="150">
        <f t="shared" ref="M173:M179" si="88">+K173/E173</f>
        <v>0.75572716083693969</v>
      </c>
      <c r="N173" s="151">
        <f>K173/H173</f>
        <v>0.81178364661854552</v>
      </c>
      <c r="O173" s="150">
        <v>0.78575249999999996</v>
      </c>
      <c r="P173" s="151">
        <v>0.84403620000000001</v>
      </c>
    </row>
    <row r="174" spans="1:16" x14ac:dyDescent="0.2">
      <c r="A174" s="686" t="s">
        <v>49</v>
      </c>
      <c r="B174" s="689" t="s">
        <v>50</v>
      </c>
      <c r="C174" s="690"/>
      <c r="D174" s="152">
        <v>198143</v>
      </c>
      <c r="E174" s="182">
        <v>78965</v>
      </c>
      <c r="F174" s="154">
        <f t="shared" ref="F174:F179" si="89">D174/E174</f>
        <v>2.5092509339580826</v>
      </c>
      <c r="G174" s="652">
        <v>171079</v>
      </c>
      <c r="H174" s="155">
        <v>69404</v>
      </c>
      <c r="I174" s="156">
        <f t="shared" si="87"/>
        <v>0.86341177836209204</v>
      </c>
      <c r="J174" s="156">
        <f t="shared" ref="J174:J179" si="90">+H174/E174</f>
        <v>0.87892104096751722</v>
      </c>
      <c r="K174" s="155">
        <v>60400</v>
      </c>
      <c r="L174" s="155">
        <v>57824</v>
      </c>
      <c r="M174" s="156">
        <f t="shared" si="88"/>
        <v>0.7648958399290825</v>
      </c>
      <c r="N174" s="157">
        <f t="shared" ref="N174:N179" si="91">K174/H174</f>
        <v>0.8702668434096017</v>
      </c>
      <c r="O174" s="156">
        <v>0.79558030000000002</v>
      </c>
      <c r="P174" s="157">
        <v>0.90517829999999999</v>
      </c>
    </row>
    <row r="175" spans="1:16" x14ac:dyDescent="0.2">
      <c r="A175" s="687"/>
      <c r="B175" s="691" t="s">
        <v>49</v>
      </c>
      <c r="C175" s="158" t="s">
        <v>51</v>
      </c>
      <c r="D175" s="159">
        <v>169322</v>
      </c>
      <c r="E175" s="183">
        <v>75271</v>
      </c>
      <c r="F175" s="161">
        <f t="shared" si="89"/>
        <v>2.2494984788298282</v>
      </c>
      <c r="G175" s="653">
        <v>146788</v>
      </c>
      <c r="H175" s="162">
        <v>66560</v>
      </c>
      <c r="I175" s="163">
        <f t="shared" si="87"/>
        <v>0.86691628967293088</v>
      </c>
      <c r="J175" s="163">
        <f t="shared" si="90"/>
        <v>0.8842714989836723</v>
      </c>
      <c r="K175" s="162">
        <v>56673</v>
      </c>
      <c r="L175" s="162">
        <v>53007</v>
      </c>
      <c r="M175" s="163">
        <f t="shared" si="88"/>
        <v>0.7529194510502053</v>
      </c>
      <c r="N175" s="164">
        <f t="shared" si="91"/>
        <v>0.85145733173076921</v>
      </c>
      <c r="O175" s="163">
        <v>0.79593729999999996</v>
      </c>
      <c r="P175" s="164">
        <v>0.90010509999999999</v>
      </c>
    </row>
    <row r="176" spans="1:16" x14ac:dyDescent="0.2">
      <c r="A176" s="687"/>
      <c r="B176" s="692"/>
      <c r="C176" s="165" t="s">
        <v>52</v>
      </c>
      <c r="D176" s="166">
        <v>28821</v>
      </c>
      <c r="E176" s="184">
        <v>12973</v>
      </c>
      <c r="F176" s="168">
        <f t="shared" si="89"/>
        <v>2.2216141216372467</v>
      </c>
      <c r="G176" s="654">
        <v>24291</v>
      </c>
      <c r="H176" s="169">
        <v>10802</v>
      </c>
      <c r="I176" s="170">
        <f t="shared" si="87"/>
        <v>0.84282294160507965</v>
      </c>
      <c r="J176" s="170">
        <f t="shared" si="90"/>
        <v>0.8326524319741001</v>
      </c>
      <c r="K176" s="169">
        <v>5725</v>
      </c>
      <c r="L176" s="169">
        <v>5242</v>
      </c>
      <c r="M176" s="170">
        <f t="shared" si="88"/>
        <v>0.4413011639559084</v>
      </c>
      <c r="N176" s="171">
        <f t="shared" si="91"/>
        <v>0.52999444547306052</v>
      </c>
      <c r="O176" s="170">
        <v>0.46380939999999998</v>
      </c>
      <c r="P176" s="171">
        <v>0.55702640000000003</v>
      </c>
    </row>
    <row r="177" spans="1:16" x14ac:dyDescent="0.2">
      <c r="A177" s="687"/>
      <c r="B177" s="689" t="s">
        <v>53</v>
      </c>
      <c r="C177" s="690"/>
      <c r="D177" s="152">
        <v>33662</v>
      </c>
      <c r="E177" s="182">
        <v>26595</v>
      </c>
      <c r="F177" s="154">
        <f t="shared" si="89"/>
        <v>1.2657266403459297</v>
      </c>
      <c r="G177" s="655">
        <v>27854</v>
      </c>
      <c r="H177" s="155">
        <v>22362</v>
      </c>
      <c r="I177" s="156">
        <f t="shared" si="87"/>
        <v>0.82746123225001489</v>
      </c>
      <c r="J177" s="156">
        <f t="shared" si="90"/>
        <v>0.84083474337281439</v>
      </c>
      <c r="K177" s="155">
        <v>17141</v>
      </c>
      <c r="L177" s="155">
        <v>15277</v>
      </c>
      <c r="M177" s="156">
        <f t="shared" si="88"/>
        <v>0.64451964655010341</v>
      </c>
      <c r="N177" s="157">
        <f t="shared" si="91"/>
        <v>0.76652356676504785</v>
      </c>
      <c r="O177" s="156">
        <v>0.68362469999999997</v>
      </c>
      <c r="P177" s="157">
        <v>0.81303099999999995</v>
      </c>
    </row>
    <row r="178" spans="1:16" x14ac:dyDescent="0.2">
      <c r="A178" s="687"/>
      <c r="B178" s="691" t="s">
        <v>49</v>
      </c>
      <c r="C178" s="158" t="s">
        <v>51</v>
      </c>
      <c r="D178" s="159">
        <v>31828</v>
      </c>
      <c r="E178" s="183">
        <v>25634</v>
      </c>
      <c r="F178" s="161">
        <f t="shared" si="89"/>
        <v>1.2416322072247796</v>
      </c>
      <c r="G178" s="653">
        <v>26414</v>
      </c>
      <c r="H178" s="162">
        <v>21595</v>
      </c>
      <c r="I178" s="163">
        <f t="shared" si="87"/>
        <v>0.82989820284026639</v>
      </c>
      <c r="J178" s="163">
        <f t="shared" si="90"/>
        <v>0.84243582741671219</v>
      </c>
      <c r="K178" s="162">
        <v>16671</v>
      </c>
      <c r="L178" s="162">
        <v>14802</v>
      </c>
      <c r="M178" s="163">
        <f t="shared" si="88"/>
        <v>0.65034719513146599</v>
      </c>
      <c r="N178" s="164">
        <f t="shared" si="91"/>
        <v>0.77198425561472561</v>
      </c>
      <c r="O178" s="163">
        <v>0.69033310000000003</v>
      </c>
      <c r="P178" s="164">
        <v>0.81944890000000004</v>
      </c>
    </row>
    <row r="179" spans="1:16" ht="13.5" thickBot="1" x14ac:dyDescent="0.25">
      <c r="A179" s="688"/>
      <c r="B179" s="693"/>
      <c r="C179" s="185" t="s">
        <v>52</v>
      </c>
      <c r="D179" s="186">
        <v>1804</v>
      </c>
      <c r="E179" s="187">
        <v>1370</v>
      </c>
      <c r="F179" s="188">
        <f t="shared" si="89"/>
        <v>1.3167883211678832</v>
      </c>
      <c r="G179" s="656">
        <v>1440</v>
      </c>
      <c r="H179" s="189">
        <v>1078</v>
      </c>
      <c r="I179" s="190">
        <f t="shared" si="87"/>
        <v>0.79822616407982261</v>
      </c>
      <c r="J179" s="190">
        <f t="shared" si="90"/>
        <v>0.78686131386861313</v>
      </c>
      <c r="K179" s="189">
        <v>526</v>
      </c>
      <c r="L179" s="189">
        <v>485</v>
      </c>
      <c r="M179" s="190">
        <f t="shared" si="88"/>
        <v>0.38394160583941606</v>
      </c>
      <c r="N179" s="191">
        <f t="shared" si="91"/>
        <v>0.48794063079777367</v>
      </c>
      <c r="O179" s="190">
        <v>0.40875909999999999</v>
      </c>
      <c r="P179" s="191">
        <v>0.51948050000000001</v>
      </c>
    </row>
    <row r="180" spans="1:16" ht="16.5" thickTop="1" thickBot="1" x14ac:dyDescent="0.25">
      <c r="A180" s="682" t="s">
        <v>606</v>
      </c>
      <c r="B180" s="683"/>
      <c r="C180" s="683"/>
      <c r="D180" s="683"/>
      <c r="E180" s="683"/>
      <c r="F180" s="683"/>
      <c r="G180" s="683"/>
      <c r="H180" s="683"/>
      <c r="I180" s="683"/>
      <c r="J180" s="683"/>
      <c r="K180" s="683"/>
      <c r="L180" s="683"/>
      <c r="M180" s="683"/>
      <c r="N180" s="683"/>
      <c r="O180" s="684"/>
      <c r="P180" s="685"/>
    </row>
    <row r="181" spans="1:16" x14ac:dyDescent="0.2">
      <c r="A181" s="180" t="s">
        <v>48</v>
      </c>
      <c r="B181" s="145"/>
      <c r="C181" s="145"/>
      <c r="D181" s="146">
        <v>246787</v>
      </c>
      <c r="E181" s="181">
        <v>104596</v>
      </c>
      <c r="F181" s="148">
        <f>D181/E181</f>
        <v>2.3594305709587364</v>
      </c>
      <c r="G181" s="651">
        <v>212832</v>
      </c>
      <c r="H181" s="149">
        <v>97645</v>
      </c>
      <c r="I181" s="150">
        <f t="shared" ref="I181:I187" si="92">G181/D181</f>
        <v>0.86241171536588235</v>
      </c>
      <c r="J181" s="150">
        <f>+H181/E181</f>
        <v>0.93354430379746833</v>
      </c>
      <c r="K181" s="149">
        <v>78750</v>
      </c>
      <c r="L181" s="149">
        <v>75215</v>
      </c>
      <c r="M181" s="150">
        <f t="shared" ref="M181:M187" si="93">+K181/E181</f>
        <v>0.75289686030058511</v>
      </c>
      <c r="N181" s="151">
        <f>K181/H181</f>
        <v>0.80649290798299966</v>
      </c>
      <c r="O181" s="150">
        <f>82045/E181</f>
        <v>0.78439902099506675</v>
      </c>
      <c r="P181" s="151">
        <f>82045/H181</f>
        <v>0.84023759537098675</v>
      </c>
    </row>
    <row r="182" spans="1:16" x14ac:dyDescent="0.2">
      <c r="A182" s="686" t="s">
        <v>49</v>
      </c>
      <c r="B182" s="689" t="s">
        <v>50</v>
      </c>
      <c r="C182" s="690"/>
      <c r="D182" s="152">
        <v>212158</v>
      </c>
      <c r="E182" s="182">
        <v>82304</v>
      </c>
      <c r="F182" s="154">
        <f t="shared" ref="F182:F187" si="94">D182/E182</f>
        <v>2.5777361975116642</v>
      </c>
      <c r="G182" s="652">
        <v>184129</v>
      </c>
      <c r="H182" s="155">
        <v>77836</v>
      </c>
      <c r="I182" s="156">
        <f t="shared" si="92"/>
        <v>0.86788619802222866</v>
      </c>
      <c r="J182" s="156">
        <f t="shared" ref="J182:J187" si="95">+H182/E182</f>
        <v>0.9457134525660964</v>
      </c>
      <c r="K182" s="155">
        <v>62957</v>
      </c>
      <c r="L182" s="155">
        <v>60355</v>
      </c>
      <c r="M182" s="156">
        <f t="shared" si="93"/>
        <v>0.76493244556765161</v>
      </c>
      <c r="N182" s="157">
        <f t="shared" ref="N182:N187" si="96">K182/H182</f>
        <v>0.80884166709491756</v>
      </c>
      <c r="O182" s="156">
        <f>65547/E182</f>
        <v>0.79640114696734055</v>
      </c>
      <c r="P182" s="157">
        <f>65547/H182</f>
        <v>0.842116758312349</v>
      </c>
    </row>
    <row r="183" spans="1:16" x14ac:dyDescent="0.2">
      <c r="A183" s="687"/>
      <c r="B183" s="691" t="s">
        <v>49</v>
      </c>
      <c r="C183" s="158" t="s">
        <v>51</v>
      </c>
      <c r="D183" s="159">
        <v>181277</v>
      </c>
      <c r="E183" s="183">
        <v>78226</v>
      </c>
      <c r="F183" s="161">
        <f t="shared" si="94"/>
        <v>2.3173497302687087</v>
      </c>
      <c r="G183" s="653">
        <v>157539</v>
      </c>
      <c r="H183" s="162">
        <v>73801</v>
      </c>
      <c r="I183" s="163">
        <f t="shared" si="92"/>
        <v>0.86905123098903891</v>
      </c>
      <c r="J183" s="163">
        <f t="shared" si="95"/>
        <v>0.94343312964998849</v>
      </c>
      <c r="K183" s="162">
        <v>59056</v>
      </c>
      <c r="L183" s="162">
        <v>55051</v>
      </c>
      <c r="M183" s="163">
        <f t="shared" si="93"/>
        <v>0.75494081251757728</v>
      </c>
      <c r="N183" s="164">
        <f t="shared" si="96"/>
        <v>0.80020595926884464</v>
      </c>
      <c r="O183" s="163">
        <f>62499/E183</f>
        <v>0.79895431186562016</v>
      </c>
      <c r="P183" s="164">
        <f>62499/H183</f>
        <v>0.84685844365252505</v>
      </c>
    </row>
    <row r="184" spans="1:16" x14ac:dyDescent="0.2">
      <c r="A184" s="687"/>
      <c r="B184" s="692"/>
      <c r="C184" s="165" t="s">
        <v>52</v>
      </c>
      <c r="D184" s="166">
        <v>30881</v>
      </c>
      <c r="E184" s="184">
        <v>13973</v>
      </c>
      <c r="F184" s="168">
        <f t="shared" si="94"/>
        <v>2.2100479496171186</v>
      </c>
      <c r="G184" s="654">
        <v>26590</v>
      </c>
      <c r="H184" s="169">
        <v>12691</v>
      </c>
      <c r="I184" s="170">
        <f t="shared" si="92"/>
        <v>0.86104724587934334</v>
      </c>
      <c r="J184" s="170">
        <f t="shared" si="95"/>
        <v>0.90825162813998428</v>
      </c>
      <c r="K184" s="169">
        <v>5884</v>
      </c>
      <c r="L184" s="169">
        <v>5304</v>
      </c>
      <c r="M184" s="170">
        <f t="shared" si="93"/>
        <v>0.42109783153224073</v>
      </c>
      <c r="N184" s="171">
        <f t="shared" si="96"/>
        <v>0.46363564730911672</v>
      </c>
      <c r="O184" s="170">
        <f>6294/E184</f>
        <v>0.45044013454519433</v>
      </c>
      <c r="P184" s="171">
        <f>6294/H184</f>
        <v>0.4959420061460878</v>
      </c>
    </row>
    <row r="185" spans="1:16" x14ac:dyDescent="0.2">
      <c r="A185" s="687"/>
      <c r="B185" s="689" t="s">
        <v>53</v>
      </c>
      <c r="C185" s="690"/>
      <c r="D185" s="152">
        <v>35091</v>
      </c>
      <c r="E185" s="182">
        <v>27401</v>
      </c>
      <c r="F185" s="154">
        <f t="shared" si="94"/>
        <v>1.2806466917265793</v>
      </c>
      <c r="G185" s="655">
        <v>29165</v>
      </c>
      <c r="H185" s="155">
        <v>23777</v>
      </c>
      <c r="I185" s="156">
        <f t="shared" si="92"/>
        <v>0.83112478983215066</v>
      </c>
      <c r="J185" s="156">
        <f t="shared" si="95"/>
        <v>0.86774205320973685</v>
      </c>
      <c r="K185" s="155">
        <v>17262</v>
      </c>
      <c r="L185" s="155">
        <v>15293</v>
      </c>
      <c r="M185" s="156">
        <f t="shared" si="93"/>
        <v>0.62997700813838908</v>
      </c>
      <c r="N185" s="157">
        <f t="shared" si="96"/>
        <v>0.72599571014005126</v>
      </c>
      <c r="O185" s="156">
        <f>18373/E185</f>
        <v>0.67052297361410163</v>
      </c>
      <c r="P185" s="157">
        <f>18373/H185</f>
        <v>0.77272153762038942</v>
      </c>
    </row>
    <row r="186" spans="1:16" x14ac:dyDescent="0.2">
      <c r="A186" s="687"/>
      <c r="B186" s="691" t="s">
        <v>49</v>
      </c>
      <c r="C186" s="158" t="s">
        <v>51</v>
      </c>
      <c r="D186" s="159">
        <v>33114</v>
      </c>
      <c r="E186" s="183">
        <v>26349</v>
      </c>
      <c r="F186" s="161">
        <f t="shared" si="94"/>
        <v>1.2567459865649551</v>
      </c>
      <c r="G186" s="653">
        <v>27576</v>
      </c>
      <c r="H186" s="162">
        <v>22871</v>
      </c>
      <c r="I186" s="163">
        <f t="shared" si="92"/>
        <v>0.83275955789092226</v>
      </c>
      <c r="J186" s="163">
        <f t="shared" si="95"/>
        <v>0.86800258074310221</v>
      </c>
      <c r="K186" s="162">
        <v>16787</v>
      </c>
      <c r="L186" s="162">
        <v>14810</v>
      </c>
      <c r="M186" s="163">
        <f t="shared" si="93"/>
        <v>0.63710197730464158</v>
      </c>
      <c r="N186" s="164">
        <f t="shared" si="96"/>
        <v>0.73398627082331336</v>
      </c>
      <c r="O186" s="163">
        <f>17882/E186</f>
        <v>0.67865953167103121</v>
      </c>
      <c r="P186" s="164">
        <f>17882/H186</f>
        <v>0.78186349525600107</v>
      </c>
    </row>
    <row r="187" spans="1:16" ht="13.5" thickBot="1" x14ac:dyDescent="0.25">
      <c r="A187" s="688"/>
      <c r="B187" s="693"/>
      <c r="C187" s="185" t="s">
        <v>52</v>
      </c>
      <c r="D187" s="186">
        <v>1977</v>
      </c>
      <c r="E187" s="187">
        <v>1505</v>
      </c>
      <c r="F187" s="188">
        <f t="shared" si="94"/>
        <v>1.3136212624584718</v>
      </c>
      <c r="G187" s="656">
        <v>1589</v>
      </c>
      <c r="H187" s="189">
        <v>1240</v>
      </c>
      <c r="I187" s="190">
        <f t="shared" si="92"/>
        <v>0.80374304501770355</v>
      </c>
      <c r="J187" s="190">
        <f t="shared" si="95"/>
        <v>0.82392026578073085</v>
      </c>
      <c r="K187" s="189">
        <v>546</v>
      </c>
      <c r="L187" s="189">
        <v>483</v>
      </c>
      <c r="M187" s="190">
        <f t="shared" si="93"/>
        <v>0.36279069767441863</v>
      </c>
      <c r="N187" s="191">
        <f t="shared" si="96"/>
        <v>0.44032258064516128</v>
      </c>
      <c r="O187" s="190">
        <f>580/E187</f>
        <v>0.38538205980066448</v>
      </c>
      <c r="P187" s="191">
        <f>580/H187</f>
        <v>0.46774193548387094</v>
      </c>
    </row>
    <row r="188" spans="1:16" ht="16.5" thickTop="1" thickBot="1" x14ac:dyDescent="0.25">
      <c r="A188" s="682" t="s">
        <v>611</v>
      </c>
      <c r="B188" s="683"/>
      <c r="C188" s="683"/>
      <c r="D188" s="683"/>
      <c r="E188" s="683"/>
      <c r="F188" s="683"/>
      <c r="G188" s="683"/>
      <c r="H188" s="683"/>
      <c r="I188" s="683"/>
      <c r="J188" s="683"/>
      <c r="K188" s="683"/>
      <c r="L188" s="683"/>
      <c r="M188" s="683"/>
      <c r="N188" s="683"/>
      <c r="O188" s="684"/>
      <c r="P188" s="685"/>
    </row>
    <row r="189" spans="1:16" x14ac:dyDescent="0.2">
      <c r="A189" s="180" t="s">
        <v>48</v>
      </c>
      <c r="B189" s="145"/>
      <c r="C189" s="145"/>
      <c r="D189" s="146">
        <v>256025</v>
      </c>
      <c r="E189" s="181">
        <v>107140</v>
      </c>
      <c r="F189" s="148">
        <f>D189/E189</f>
        <v>2.3896303901437372</v>
      </c>
      <c r="G189" s="651">
        <v>220650</v>
      </c>
      <c r="H189" s="149">
        <v>100192</v>
      </c>
      <c r="I189" s="150">
        <f t="shared" ref="I189:I195" si="97">G189/D189</f>
        <v>0.86182989942388444</v>
      </c>
      <c r="J189" s="150">
        <f>+H189/E189</f>
        <v>0.93515027067388468</v>
      </c>
      <c r="K189" s="149">
        <v>81428</v>
      </c>
      <c r="L189" s="149">
        <v>77671</v>
      </c>
      <c r="M189" s="150">
        <f t="shared" ref="M189:M195" si="98">+K189/E189</f>
        <v>0.76001493373156614</v>
      </c>
      <c r="N189" s="151">
        <f>K189/H189</f>
        <v>0.81271957840945386</v>
      </c>
      <c r="O189" s="150">
        <f>84246/E189</f>
        <v>0.7863169684524921</v>
      </c>
      <c r="P189" s="151">
        <f>84246/H189</f>
        <v>0.84084557649313318</v>
      </c>
    </row>
    <row r="190" spans="1:16" x14ac:dyDescent="0.2">
      <c r="A190" s="686" t="s">
        <v>49</v>
      </c>
      <c r="B190" s="689" t="s">
        <v>50</v>
      </c>
      <c r="C190" s="690"/>
      <c r="D190" s="152">
        <v>221602</v>
      </c>
      <c r="E190" s="182">
        <v>85716</v>
      </c>
      <c r="F190" s="154">
        <f t="shared" ref="F190:F195" si="99">D190/E190</f>
        <v>2.5853049605674552</v>
      </c>
      <c r="G190" s="652">
        <v>191858</v>
      </c>
      <c r="H190" s="155">
        <v>74854</v>
      </c>
      <c r="I190" s="156">
        <f t="shared" si="97"/>
        <v>0.86577738468064369</v>
      </c>
      <c r="J190" s="156">
        <f t="shared" ref="J190:J195" si="100">+H190/E190</f>
        <v>0.87327920108264501</v>
      </c>
      <c r="K190" s="155">
        <v>65966</v>
      </c>
      <c r="L190" s="155">
        <v>63139</v>
      </c>
      <c r="M190" s="156">
        <f t="shared" si="98"/>
        <v>0.76958794157450183</v>
      </c>
      <c r="N190" s="157">
        <f t="shared" ref="N190:N195" si="101">K190/H190</f>
        <v>0.8812621903973068</v>
      </c>
      <c r="O190" s="156">
        <f>68314/E190</f>
        <v>0.79698072705212564</v>
      </c>
      <c r="P190" s="157">
        <f>68314/H190</f>
        <v>0.91262991957677608</v>
      </c>
    </row>
    <row r="191" spans="1:16" x14ac:dyDescent="0.2">
      <c r="A191" s="687"/>
      <c r="B191" s="691" t="s">
        <v>49</v>
      </c>
      <c r="C191" s="158" t="s">
        <v>51</v>
      </c>
      <c r="D191" s="159">
        <v>188607</v>
      </c>
      <c r="E191" s="183">
        <v>81332</v>
      </c>
      <c r="F191" s="161">
        <f t="shared" si="99"/>
        <v>2.3189765405990261</v>
      </c>
      <c r="G191" s="653">
        <v>162708</v>
      </c>
      <c r="H191" s="162">
        <v>71014</v>
      </c>
      <c r="I191" s="163">
        <f t="shared" si="97"/>
        <v>0.86268272121395284</v>
      </c>
      <c r="J191" s="163">
        <f t="shared" si="100"/>
        <v>0.87313726454532037</v>
      </c>
      <c r="K191" s="162">
        <v>62084</v>
      </c>
      <c r="L191" s="162">
        <v>58015</v>
      </c>
      <c r="M191" s="163">
        <f t="shared" si="98"/>
        <v>0.76334038262922344</v>
      </c>
      <c r="N191" s="164">
        <f t="shared" si="101"/>
        <v>0.87425014785816879</v>
      </c>
      <c r="O191" s="163">
        <f>65152/E191</f>
        <v>0.80106231249692617</v>
      </c>
      <c r="P191" s="164">
        <f>65152/H191</f>
        <v>0.91745289661193563</v>
      </c>
    </row>
    <row r="192" spans="1:16" x14ac:dyDescent="0.2">
      <c r="A192" s="687"/>
      <c r="B192" s="692"/>
      <c r="C192" s="165" t="s">
        <v>52</v>
      </c>
      <c r="D192" s="166">
        <v>33535</v>
      </c>
      <c r="E192" s="184">
        <v>14802</v>
      </c>
      <c r="F192" s="168">
        <f t="shared" si="99"/>
        <v>2.2655722199702741</v>
      </c>
      <c r="G192" s="654">
        <v>29150</v>
      </c>
      <c r="H192" s="169">
        <v>12877</v>
      </c>
      <c r="I192" s="170">
        <f t="shared" si="97"/>
        <v>0.86924109139704786</v>
      </c>
      <c r="J192" s="170">
        <f t="shared" si="100"/>
        <v>0.86995000675584377</v>
      </c>
      <c r="K192" s="169">
        <v>5989</v>
      </c>
      <c r="L192" s="169">
        <v>5579</v>
      </c>
      <c r="M192" s="170">
        <f t="shared" si="98"/>
        <v>0.4046074854749358</v>
      </c>
      <c r="N192" s="171">
        <f t="shared" si="101"/>
        <v>0.46509280111827289</v>
      </c>
      <c r="O192" s="170">
        <f>6271/E192</f>
        <v>0.4236589650047291</v>
      </c>
      <c r="P192" s="171">
        <f>6271/H192</f>
        <v>0.48699231187388364</v>
      </c>
    </row>
    <row r="193" spans="1:25" x14ac:dyDescent="0.2">
      <c r="A193" s="687"/>
      <c r="B193" s="689" t="s">
        <v>53</v>
      </c>
      <c r="C193" s="690"/>
      <c r="D193" s="152">
        <v>34423</v>
      </c>
      <c r="E193" s="182">
        <v>26935</v>
      </c>
      <c r="F193" s="154">
        <f t="shared" si="99"/>
        <v>1.2780025988490811</v>
      </c>
      <c r="G193" s="655">
        <v>28792</v>
      </c>
      <c r="H193" s="155">
        <v>22834</v>
      </c>
      <c r="I193" s="156">
        <f t="shared" si="97"/>
        <v>0.83641751154751187</v>
      </c>
      <c r="J193" s="156">
        <f t="shared" si="100"/>
        <v>0.84774457026174121</v>
      </c>
      <c r="K193" s="155">
        <v>17173</v>
      </c>
      <c r="L193" s="155">
        <v>14961</v>
      </c>
      <c r="M193" s="156">
        <f t="shared" si="98"/>
        <v>0.63757193242992394</v>
      </c>
      <c r="N193" s="157">
        <f t="shared" si="101"/>
        <v>0.7520802312341246</v>
      </c>
      <c r="O193" s="156">
        <f>18152/E193</f>
        <v>0.67391869315017638</v>
      </c>
      <c r="P193" s="157">
        <f>18152/H193</f>
        <v>0.79495489182797585</v>
      </c>
      <c r="W193" s="8"/>
      <c r="X193" s="8"/>
      <c r="Y193" s="8"/>
    </row>
    <row r="194" spans="1:25" x14ac:dyDescent="0.2">
      <c r="A194" s="687"/>
      <c r="B194" s="691" t="s">
        <v>49</v>
      </c>
      <c r="C194" s="158" t="s">
        <v>51</v>
      </c>
      <c r="D194" s="159">
        <v>32697</v>
      </c>
      <c r="E194" s="183">
        <v>26058</v>
      </c>
      <c r="F194" s="161">
        <f t="shared" si="99"/>
        <v>1.2547778033617316</v>
      </c>
      <c r="G194" s="653">
        <v>27380</v>
      </c>
      <c r="H194" s="162">
        <v>22118</v>
      </c>
      <c r="I194" s="163">
        <f t="shared" si="97"/>
        <v>0.83738569287702236</v>
      </c>
      <c r="J194" s="163">
        <f t="shared" si="100"/>
        <v>0.84879883337170925</v>
      </c>
      <c r="K194" s="162">
        <v>16722</v>
      </c>
      <c r="L194" s="162">
        <v>14522</v>
      </c>
      <c r="M194" s="163">
        <f t="shared" si="98"/>
        <v>0.64172231176606032</v>
      </c>
      <c r="N194" s="164">
        <f t="shared" si="101"/>
        <v>0.75603580793923497</v>
      </c>
      <c r="O194" s="163">
        <f>17686/E194</f>
        <v>0.67871670888019031</v>
      </c>
      <c r="P194" s="164">
        <f>17686/H194</f>
        <v>0.7996202188262953</v>
      </c>
      <c r="W194" s="8"/>
      <c r="X194" s="8"/>
      <c r="Y194" s="8"/>
    </row>
    <row r="195" spans="1:25" ht="13.5" thickBot="1" x14ac:dyDescent="0.25">
      <c r="A195" s="688"/>
      <c r="B195" s="693"/>
      <c r="C195" s="185" t="s">
        <v>52</v>
      </c>
      <c r="D195" s="186">
        <v>1726</v>
      </c>
      <c r="E195" s="187">
        <v>1282</v>
      </c>
      <c r="F195" s="188">
        <f t="shared" si="99"/>
        <v>1.3463338533541342</v>
      </c>
      <c r="G195" s="656">
        <v>1412</v>
      </c>
      <c r="H195" s="189">
        <v>1046</v>
      </c>
      <c r="I195" s="190">
        <f t="shared" si="97"/>
        <v>0.81807647740440326</v>
      </c>
      <c r="J195" s="190">
        <f t="shared" si="100"/>
        <v>0.8159126365054602</v>
      </c>
      <c r="K195" s="189">
        <v>506</v>
      </c>
      <c r="L195" s="189">
        <v>448</v>
      </c>
      <c r="M195" s="190">
        <f t="shared" si="98"/>
        <v>0.39469578783151327</v>
      </c>
      <c r="N195" s="191">
        <f t="shared" si="101"/>
        <v>0.4837476099426386</v>
      </c>
      <c r="O195" s="190">
        <f>566/E195</f>
        <v>0.44149765990639628</v>
      </c>
      <c r="P195" s="191">
        <f>566/H195</f>
        <v>0.54110898661567874</v>
      </c>
      <c r="W195" s="8"/>
      <c r="X195" s="8"/>
      <c r="Y195" s="8"/>
    </row>
    <row r="196" spans="1:25" ht="16.5" thickTop="1" thickBot="1" x14ac:dyDescent="0.25">
      <c r="A196" s="682" t="s">
        <v>618</v>
      </c>
      <c r="B196" s="683"/>
      <c r="C196" s="683"/>
      <c r="D196" s="683"/>
      <c r="E196" s="683"/>
      <c r="F196" s="683"/>
      <c r="G196" s="683"/>
      <c r="H196" s="683"/>
      <c r="I196" s="683"/>
      <c r="J196" s="683"/>
      <c r="K196" s="683"/>
      <c r="L196" s="683"/>
      <c r="M196" s="683"/>
      <c r="N196" s="683"/>
      <c r="O196" s="684"/>
      <c r="P196" s="685"/>
      <c r="W196" s="8"/>
      <c r="X196" s="8"/>
      <c r="Y196" s="8"/>
    </row>
    <row r="197" spans="1:25" x14ac:dyDescent="0.2">
      <c r="A197" s="180" t="s">
        <v>48</v>
      </c>
      <c r="B197" s="145"/>
      <c r="C197" s="145"/>
      <c r="D197" s="146">
        <v>271183</v>
      </c>
      <c r="E197" s="181">
        <v>111357</v>
      </c>
      <c r="F197" s="148">
        <f>D197/E197</f>
        <v>2.4352577745449322</v>
      </c>
      <c r="G197" s="651">
        <v>233720</v>
      </c>
      <c r="H197" s="149">
        <v>104652</v>
      </c>
      <c r="I197" s="150">
        <f t="shared" ref="I197:I203" si="102">G197/D197</f>
        <v>0.86185343476545362</v>
      </c>
      <c r="J197" s="150">
        <f>+H197/E197</f>
        <v>0.93978824860583532</v>
      </c>
      <c r="K197" s="149">
        <v>86281</v>
      </c>
      <c r="L197" s="149">
        <v>82323</v>
      </c>
      <c r="M197" s="150">
        <f t="shared" ref="M197:M203" si="103">+K197/E197</f>
        <v>0.77481433587470927</v>
      </c>
      <c r="N197" s="151">
        <f>K197/H197</f>
        <v>0.82445629323854297</v>
      </c>
      <c r="O197" s="150">
        <f>89486/E197</f>
        <v>0.80359564284238982</v>
      </c>
      <c r="P197" s="151">
        <f>89486/H197</f>
        <v>0.85508160379161413</v>
      </c>
      <c r="W197" s="8"/>
      <c r="X197" s="8"/>
      <c r="Y197" s="8"/>
    </row>
    <row r="198" spans="1:25" x14ac:dyDescent="0.2">
      <c r="A198" s="686" t="s">
        <v>49</v>
      </c>
      <c r="B198" s="689" t="s">
        <v>50</v>
      </c>
      <c r="C198" s="690"/>
      <c r="D198" s="152">
        <v>236772</v>
      </c>
      <c r="E198" s="182">
        <v>90335</v>
      </c>
      <c r="F198" s="154">
        <f t="shared" ref="F198:F203" si="104">D198/E198</f>
        <v>2.6210438921791113</v>
      </c>
      <c r="G198" s="652">
        <v>204281</v>
      </c>
      <c r="H198" s="155">
        <v>85731</v>
      </c>
      <c r="I198" s="156">
        <f t="shared" si="102"/>
        <v>0.86277515922490833</v>
      </c>
      <c r="J198" s="156">
        <f t="shared" ref="J198:J203" si="105">+H198/E198</f>
        <v>0.94903415066142693</v>
      </c>
      <c r="K198" s="155">
        <v>70595</v>
      </c>
      <c r="L198" s="155">
        <v>67548</v>
      </c>
      <c r="M198" s="156">
        <f t="shared" si="103"/>
        <v>0.78148004649360714</v>
      </c>
      <c r="N198" s="157">
        <f t="shared" ref="N198:N203" si="106">K198/H198</f>
        <v>0.82344776101993444</v>
      </c>
      <c r="O198" s="156">
        <f>73386/E198</f>
        <v>0.81237615542148667</v>
      </c>
      <c r="P198" s="157">
        <f>73386/H198</f>
        <v>0.85600307939951714</v>
      </c>
      <c r="W198" s="8"/>
      <c r="X198" s="8"/>
      <c r="Y198" s="8"/>
    </row>
    <row r="199" spans="1:25" x14ac:dyDescent="0.2">
      <c r="A199" s="687"/>
      <c r="B199" s="691" t="s">
        <v>49</v>
      </c>
      <c r="C199" s="158" t="s">
        <v>51</v>
      </c>
      <c r="D199" s="159">
        <v>201310</v>
      </c>
      <c r="E199" s="183">
        <v>85847</v>
      </c>
      <c r="F199" s="161">
        <f t="shared" si="104"/>
        <v>2.3449858469136955</v>
      </c>
      <c r="G199" s="653">
        <v>173633</v>
      </c>
      <c r="H199" s="162">
        <v>81223</v>
      </c>
      <c r="I199" s="163">
        <f t="shared" si="102"/>
        <v>0.86251552332223935</v>
      </c>
      <c r="J199" s="163">
        <f t="shared" si="105"/>
        <v>0.94613673162719725</v>
      </c>
      <c r="K199" s="162">
        <v>66736</v>
      </c>
      <c r="L199" s="162">
        <v>62380</v>
      </c>
      <c r="M199" s="163">
        <f t="shared" si="103"/>
        <v>0.77738301862616055</v>
      </c>
      <c r="N199" s="164">
        <f t="shared" si="106"/>
        <v>0.82163919086958126</v>
      </c>
      <c r="O199" s="163">
        <f>70255/E199</f>
        <v>0.81837455007163906</v>
      </c>
      <c r="P199" s="164">
        <f>70255/H199</f>
        <v>0.86496435738645461</v>
      </c>
      <c r="W199" s="8"/>
      <c r="X199" s="8"/>
      <c r="Y199" s="8"/>
    </row>
    <row r="200" spans="1:25" x14ac:dyDescent="0.2">
      <c r="A200" s="687"/>
      <c r="B200" s="692"/>
      <c r="C200" s="165" t="s">
        <v>52</v>
      </c>
      <c r="D200" s="166">
        <v>35462</v>
      </c>
      <c r="E200" s="184">
        <v>15347</v>
      </c>
      <c r="F200" s="168">
        <f t="shared" si="104"/>
        <v>2.3106796116504853</v>
      </c>
      <c r="G200" s="654">
        <v>30648</v>
      </c>
      <c r="H200" s="169">
        <v>13999</v>
      </c>
      <c r="I200" s="170">
        <f t="shared" si="102"/>
        <v>0.86424905532682872</v>
      </c>
      <c r="J200" s="170">
        <f t="shared" si="105"/>
        <v>0.9121652440216329</v>
      </c>
      <c r="K200" s="169">
        <v>6090</v>
      </c>
      <c r="L200" s="169">
        <v>5624</v>
      </c>
      <c r="M200" s="170">
        <f t="shared" si="103"/>
        <v>0.39682022545122825</v>
      </c>
      <c r="N200" s="171">
        <f t="shared" si="106"/>
        <v>0.43503107364811772</v>
      </c>
      <c r="O200" s="170">
        <f>6503/E200</f>
        <v>0.42373102234964488</v>
      </c>
      <c r="P200" s="171">
        <f>6503/H200</f>
        <v>0.46453318094149582</v>
      </c>
      <c r="W200" s="8"/>
      <c r="X200" s="8"/>
      <c r="Y200" s="8"/>
    </row>
    <row r="201" spans="1:25" x14ac:dyDescent="0.2">
      <c r="A201" s="687"/>
      <c r="B201" s="689" t="s">
        <v>53</v>
      </c>
      <c r="C201" s="690"/>
      <c r="D201" s="152">
        <v>34601</v>
      </c>
      <c r="E201" s="182">
        <v>27261</v>
      </c>
      <c r="F201" s="154">
        <f t="shared" si="104"/>
        <v>1.2692491104508272</v>
      </c>
      <c r="G201" s="655">
        <v>28836</v>
      </c>
      <c r="H201" s="155">
        <v>23663</v>
      </c>
      <c r="I201" s="156">
        <f t="shared" si="102"/>
        <v>0.83338631831449961</v>
      </c>
      <c r="J201" s="156">
        <f t="shared" si="105"/>
        <v>0.8680165804629324</v>
      </c>
      <c r="K201" s="155">
        <v>17627</v>
      </c>
      <c r="L201" s="155">
        <v>15302</v>
      </c>
      <c r="M201" s="156">
        <f t="shared" si="103"/>
        <v>0.64660137192326028</v>
      </c>
      <c r="N201" s="157">
        <f t="shared" si="106"/>
        <v>0.74491822676752739</v>
      </c>
      <c r="O201" s="156">
        <f>18703/E201</f>
        <v>0.68607167748798648</v>
      </c>
      <c r="P201" s="157">
        <f>18152/H201</f>
        <v>0.76710476270971562</v>
      </c>
      <c r="W201" s="8"/>
      <c r="X201" s="8"/>
      <c r="Y201" s="8"/>
    </row>
    <row r="202" spans="1:25" x14ac:dyDescent="0.2">
      <c r="A202" s="687"/>
      <c r="B202" s="691" t="s">
        <v>49</v>
      </c>
      <c r="C202" s="158" t="s">
        <v>51</v>
      </c>
      <c r="D202" s="159">
        <v>32876</v>
      </c>
      <c r="E202" s="183">
        <v>26319</v>
      </c>
      <c r="F202" s="161">
        <f t="shared" si="104"/>
        <v>1.2491356054561344</v>
      </c>
      <c r="G202" s="653">
        <v>27396</v>
      </c>
      <c r="H202" s="162">
        <v>22846</v>
      </c>
      <c r="I202" s="163">
        <f t="shared" si="102"/>
        <v>0.83331305511619413</v>
      </c>
      <c r="J202" s="163">
        <f t="shared" si="105"/>
        <v>0.86804209886393857</v>
      </c>
      <c r="K202" s="162">
        <v>17065</v>
      </c>
      <c r="L202" s="162">
        <v>14752</v>
      </c>
      <c r="M202" s="163">
        <f t="shared" si="103"/>
        <v>0.64839089631065006</v>
      </c>
      <c r="N202" s="164">
        <f t="shared" si="106"/>
        <v>0.74695789197233653</v>
      </c>
      <c r="O202" s="163">
        <f>18111/E202</f>
        <v>0.68813404764618713</v>
      </c>
      <c r="P202" s="164">
        <f>18111/H202</f>
        <v>0.7927427120721352</v>
      </c>
      <c r="W202" s="8"/>
      <c r="X202" s="8"/>
      <c r="Y202" s="8"/>
    </row>
    <row r="203" spans="1:25" ht="13.5" thickBot="1" x14ac:dyDescent="0.25">
      <c r="A203" s="688"/>
      <c r="B203" s="693"/>
      <c r="C203" s="185" t="s">
        <v>52</v>
      </c>
      <c r="D203" s="186">
        <v>1725</v>
      </c>
      <c r="E203" s="187">
        <v>1306</v>
      </c>
      <c r="F203" s="188">
        <f t="shared" si="104"/>
        <v>1.3208269525267995</v>
      </c>
      <c r="G203" s="656">
        <v>1440</v>
      </c>
      <c r="H203" s="189">
        <v>1111</v>
      </c>
      <c r="I203" s="190">
        <f t="shared" si="102"/>
        <v>0.83478260869565213</v>
      </c>
      <c r="J203" s="190">
        <f t="shared" si="105"/>
        <v>0.85068912710566613</v>
      </c>
      <c r="K203" s="189">
        <v>648</v>
      </c>
      <c r="L203" s="189">
        <v>568</v>
      </c>
      <c r="M203" s="190">
        <f t="shared" si="103"/>
        <v>0.49617151607963245</v>
      </c>
      <c r="N203" s="191">
        <f t="shared" si="106"/>
        <v>0.5832583258325833</v>
      </c>
      <c r="O203" s="190">
        <f>716/E203</f>
        <v>0.5482388973966309</v>
      </c>
      <c r="P203" s="191">
        <f>716/H203</f>
        <v>0.64446444644464451</v>
      </c>
      <c r="W203" s="8"/>
      <c r="X203" s="8"/>
      <c r="Y203" s="8"/>
    </row>
    <row r="204" spans="1:25" ht="13.5" thickTop="1" x14ac:dyDescent="0.2">
      <c r="A204" s="6" t="s">
        <v>55</v>
      </c>
      <c r="B204" s="134"/>
      <c r="C204" s="134"/>
      <c r="D204" s="134"/>
      <c r="E204" s="134"/>
      <c r="F204" s="134"/>
      <c r="G204" s="192"/>
      <c r="H204" s="134"/>
      <c r="I204" s="134"/>
      <c r="J204" s="134"/>
      <c r="K204" s="134"/>
      <c r="L204" s="134"/>
      <c r="W204" s="8"/>
      <c r="X204" s="8"/>
      <c r="Y204" s="8"/>
    </row>
    <row r="205" spans="1:25" ht="13.5" thickBot="1" x14ac:dyDescent="0.25">
      <c r="B205" s="134"/>
      <c r="C205" s="134"/>
      <c r="D205" s="134"/>
      <c r="E205" s="134"/>
      <c r="F205" s="134"/>
      <c r="G205" s="192"/>
      <c r="H205" s="134"/>
      <c r="I205" s="134"/>
      <c r="J205" s="134"/>
      <c r="K205" s="134"/>
      <c r="L205" s="134"/>
      <c r="W205" s="8"/>
      <c r="X205" s="8"/>
      <c r="Y205" s="8"/>
    </row>
    <row r="206" spans="1:25" ht="12.75" customHeight="1" thickBot="1" x14ac:dyDescent="0.25">
      <c r="A206" s="193" t="s">
        <v>56</v>
      </c>
      <c r="B206" s="194"/>
      <c r="C206" s="194"/>
      <c r="D206" s="194"/>
      <c r="E206" s="194"/>
      <c r="F206" s="194"/>
      <c r="G206" s="194"/>
      <c r="H206" s="194"/>
      <c r="I206" s="194"/>
      <c r="J206" s="194"/>
      <c r="K206" s="194"/>
      <c r="L206" s="194"/>
      <c r="M206" s="194"/>
      <c r="N206" s="195"/>
      <c r="W206" s="8">
        <v>10838</v>
      </c>
      <c r="X206" s="8"/>
      <c r="Y206" s="8"/>
    </row>
    <row r="207" spans="1:25" ht="12.75" customHeight="1" thickBot="1" x14ac:dyDescent="0.25">
      <c r="A207" s="714" t="s">
        <v>6</v>
      </c>
      <c r="B207" s="715"/>
      <c r="C207" s="715"/>
      <c r="D207" s="715"/>
      <c r="E207" s="715"/>
      <c r="F207" s="715"/>
      <c r="G207" s="715"/>
      <c r="H207" s="715"/>
      <c r="I207" s="715"/>
      <c r="J207" s="715"/>
      <c r="K207" s="715"/>
      <c r="L207" s="715"/>
      <c r="M207" s="715"/>
      <c r="N207" s="716"/>
      <c r="W207" s="8"/>
      <c r="X207" s="8"/>
      <c r="Y207" s="8"/>
    </row>
    <row r="208" spans="1:25" ht="12.75" customHeight="1" x14ac:dyDescent="0.2">
      <c r="A208" s="143" t="s">
        <v>48</v>
      </c>
      <c r="B208" s="144"/>
      <c r="C208" s="145"/>
      <c r="D208" s="146">
        <v>233592</v>
      </c>
      <c r="E208" s="147">
        <v>102948</v>
      </c>
      <c r="F208" s="148">
        <f>+D208/E208</f>
        <v>2.2690290243618136</v>
      </c>
      <c r="G208" s="147">
        <v>189240</v>
      </c>
      <c r="H208" s="149">
        <v>92300</v>
      </c>
      <c r="I208" s="150">
        <f>+G208/D208</f>
        <v>0.81013048392068221</v>
      </c>
      <c r="J208" s="150">
        <f>+H208/E208</f>
        <v>0.89656914170260715</v>
      </c>
      <c r="K208" s="147">
        <v>51883</v>
      </c>
      <c r="L208" s="147">
        <v>49820</v>
      </c>
      <c r="M208" s="150">
        <f>+K208/E208</f>
        <v>0.50397287951198666</v>
      </c>
      <c r="N208" s="151">
        <v>0.56211267605633808</v>
      </c>
      <c r="X208" s="8"/>
      <c r="Y208" s="8"/>
    </row>
    <row r="209" spans="1:25" ht="12.75" customHeight="1" x14ac:dyDescent="0.2">
      <c r="A209" s="686" t="s">
        <v>49</v>
      </c>
      <c r="B209" s="689" t="s">
        <v>50</v>
      </c>
      <c r="C209" s="690"/>
      <c r="D209" s="152">
        <v>202819</v>
      </c>
      <c r="E209" s="153">
        <v>81297</v>
      </c>
      <c r="F209" s="154">
        <f t="shared" ref="F209:F214" si="107">+D209/E209</f>
        <v>2.4947907056840966</v>
      </c>
      <c r="G209" s="153">
        <v>164660</v>
      </c>
      <c r="H209" s="155">
        <v>73892</v>
      </c>
      <c r="I209" s="156">
        <f t="shared" ref="I209:J214" si="108">+G209/D209</f>
        <v>0.8118568773142556</v>
      </c>
      <c r="J209" s="156">
        <f t="shared" si="108"/>
        <v>0.90891422807729683</v>
      </c>
      <c r="K209" s="153">
        <v>43740</v>
      </c>
      <c r="L209" s="153">
        <v>41965</v>
      </c>
      <c r="M209" s="156">
        <f t="shared" ref="M209:M214" si="109">+K209/E209</f>
        <v>0.53802723347725012</v>
      </c>
      <c r="N209" s="157">
        <v>0.59194500081199586</v>
      </c>
      <c r="X209" s="8"/>
      <c r="Y209" s="8"/>
    </row>
    <row r="210" spans="1:25" ht="12.75" customHeight="1" x14ac:dyDescent="0.2">
      <c r="A210" s="687"/>
      <c r="B210" s="691" t="s">
        <v>49</v>
      </c>
      <c r="C210" s="158" t="s">
        <v>51</v>
      </c>
      <c r="D210" s="159">
        <v>56708</v>
      </c>
      <c r="E210" s="160">
        <v>38404</v>
      </c>
      <c r="F210" s="161">
        <f t="shared" si="107"/>
        <v>1.4766170190605146</v>
      </c>
      <c r="G210" s="160">
        <v>46502</v>
      </c>
      <c r="H210" s="162">
        <v>33045</v>
      </c>
      <c r="I210" s="163">
        <f t="shared" si="108"/>
        <v>0.82002539324257595</v>
      </c>
      <c r="J210" s="163">
        <f t="shared" si="108"/>
        <v>0.86045724403707946</v>
      </c>
      <c r="K210" s="160">
        <v>14220</v>
      </c>
      <c r="L210" s="160">
        <v>11250</v>
      </c>
      <c r="M210" s="163">
        <f t="shared" si="109"/>
        <v>0.37027392979897927</v>
      </c>
      <c r="N210" s="164">
        <v>0.43032228778937814</v>
      </c>
      <c r="X210" s="8"/>
      <c r="Y210" s="8"/>
    </row>
    <row r="211" spans="1:25" ht="12.75" customHeight="1" x14ac:dyDescent="0.2">
      <c r="A211" s="687"/>
      <c r="B211" s="692"/>
      <c r="C211" s="165" t="s">
        <v>52</v>
      </c>
      <c r="D211" s="166">
        <v>146111</v>
      </c>
      <c r="E211" s="167">
        <v>67445</v>
      </c>
      <c r="F211" s="168">
        <f t="shared" si="107"/>
        <v>2.1663725998962118</v>
      </c>
      <c r="G211" s="167">
        <v>118158</v>
      </c>
      <c r="H211" s="169">
        <v>60655</v>
      </c>
      <c r="I211" s="170">
        <f t="shared" si="108"/>
        <v>0.80868654652969318</v>
      </c>
      <c r="J211" s="170">
        <f t="shared" si="108"/>
        <v>0.89932537623248576</v>
      </c>
      <c r="K211" s="167">
        <v>34375</v>
      </c>
      <c r="L211" s="167">
        <v>31840</v>
      </c>
      <c r="M211" s="170">
        <f t="shared" si="109"/>
        <v>0.50967454963303438</v>
      </c>
      <c r="N211" s="171">
        <v>0.56672986563350092</v>
      </c>
      <c r="X211" s="8"/>
      <c r="Y211" s="8"/>
    </row>
    <row r="212" spans="1:25" ht="12.75" customHeight="1" x14ac:dyDescent="0.2">
      <c r="A212" s="687"/>
      <c r="B212" s="689" t="s">
        <v>53</v>
      </c>
      <c r="C212" s="690"/>
      <c r="D212" s="152">
        <v>30773</v>
      </c>
      <c r="E212" s="153">
        <v>25340</v>
      </c>
      <c r="F212" s="154">
        <f t="shared" si="107"/>
        <v>1.2144041041831097</v>
      </c>
      <c r="G212" s="153">
        <v>24580</v>
      </c>
      <c r="H212" s="155">
        <v>21013</v>
      </c>
      <c r="I212" s="156">
        <f t="shared" si="108"/>
        <v>0.79875215286127454</v>
      </c>
      <c r="J212" s="156">
        <f t="shared" si="108"/>
        <v>0.82924230465666926</v>
      </c>
      <c r="K212" s="153">
        <v>8644</v>
      </c>
      <c r="L212" s="153">
        <v>8052</v>
      </c>
      <c r="M212" s="156">
        <f t="shared" si="109"/>
        <v>0.34112075769534334</v>
      </c>
      <c r="N212" s="157">
        <v>0.41136439347070863</v>
      </c>
      <c r="X212" s="8" t="s">
        <v>57</v>
      </c>
      <c r="Y212" s="8"/>
    </row>
    <row r="213" spans="1:25" ht="12.75" customHeight="1" x14ac:dyDescent="0.2">
      <c r="A213" s="687"/>
      <c r="B213" s="691" t="s">
        <v>49</v>
      </c>
      <c r="C213" s="158" t="s">
        <v>51</v>
      </c>
      <c r="D213" s="159">
        <v>20190</v>
      </c>
      <c r="E213" s="160">
        <v>17454</v>
      </c>
      <c r="F213" s="161">
        <f t="shared" si="107"/>
        <v>1.1567548985905809</v>
      </c>
      <c r="G213" s="160">
        <v>16105</v>
      </c>
      <c r="H213" s="162">
        <v>14377</v>
      </c>
      <c r="I213" s="163">
        <f t="shared" si="108"/>
        <v>0.79767211490837053</v>
      </c>
      <c r="J213" s="163">
        <f t="shared" si="108"/>
        <v>0.82370803254268365</v>
      </c>
      <c r="K213" s="160">
        <v>5231</v>
      </c>
      <c r="L213" s="160">
        <v>4789</v>
      </c>
      <c r="M213" s="163">
        <f t="shared" si="109"/>
        <v>0.29970207402314658</v>
      </c>
      <c r="N213" s="164">
        <v>0.36384503025665993</v>
      </c>
      <c r="X213" s="8">
        <v>22.000104799832322</v>
      </c>
      <c r="Y213" s="8"/>
    </row>
    <row r="214" spans="1:25" ht="12.75" customHeight="1" thickBot="1" x14ac:dyDescent="0.25">
      <c r="A214" s="704"/>
      <c r="B214" s="712"/>
      <c r="C214" s="172" t="s">
        <v>52</v>
      </c>
      <c r="D214" s="173">
        <v>10853</v>
      </c>
      <c r="E214" s="174">
        <v>9545</v>
      </c>
      <c r="F214" s="175">
        <f t="shared" si="107"/>
        <v>1.1370350969093765</v>
      </c>
      <c r="G214" s="174">
        <v>8475</v>
      </c>
      <c r="H214" s="176">
        <v>7806</v>
      </c>
      <c r="I214" s="177">
        <f t="shared" si="108"/>
        <v>0.78089007647655029</v>
      </c>
      <c r="J214" s="177">
        <f t="shared" si="108"/>
        <v>0.81781037192247252</v>
      </c>
      <c r="K214" s="174">
        <v>3562</v>
      </c>
      <c r="L214" s="174">
        <v>3299</v>
      </c>
      <c r="M214" s="177">
        <f t="shared" si="109"/>
        <v>0.37317967522262963</v>
      </c>
      <c r="N214" s="178">
        <v>0.45631565462464768</v>
      </c>
      <c r="X214" s="8"/>
      <c r="Y214" s="8"/>
    </row>
    <row r="215" spans="1:25" ht="12.75" customHeight="1" thickBot="1" x14ac:dyDescent="0.25">
      <c r="A215" s="701" t="s">
        <v>7</v>
      </c>
      <c r="B215" s="702"/>
      <c r="C215" s="702"/>
      <c r="D215" s="702"/>
      <c r="E215" s="702"/>
      <c r="F215" s="702"/>
      <c r="G215" s="702"/>
      <c r="H215" s="702"/>
      <c r="I215" s="702"/>
      <c r="J215" s="702"/>
      <c r="K215" s="702"/>
      <c r="L215" s="702"/>
      <c r="M215" s="702"/>
      <c r="N215" s="703"/>
      <c r="X215" s="8"/>
      <c r="Y215" s="8"/>
    </row>
    <row r="216" spans="1:25" ht="12.75" customHeight="1" x14ac:dyDescent="0.2">
      <c r="A216" s="143" t="s">
        <v>48</v>
      </c>
      <c r="B216" s="144"/>
      <c r="C216" s="145"/>
      <c r="D216" s="146">
        <v>228872</v>
      </c>
      <c r="E216" s="147">
        <v>106086</v>
      </c>
      <c r="F216" s="148">
        <f t="shared" ref="F216:F222" si="110">D216/E216</f>
        <v>2.1574194521426011</v>
      </c>
      <c r="G216" s="147">
        <v>187268</v>
      </c>
      <c r="H216" s="149">
        <v>95493</v>
      </c>
      <c r="I216" s="150">
        <f t="shared" ref="I216:I222" si="111">G216/D216</f>
        <v>0.81822153867664027</v>
      </c>
      <c r="J216" s="150">
        <f t="shared" ref="J216:J222" si="112">+H216/E216</f>
        <v>0.90014705050619304</v>
      </c>
      <c r="K216" s="147">
        <v>57239</v>
      </c>
      <c r="L216" s="147">
        <v>54716</v>
      </c>
      <c r="M216" s="150">
        <f t="shared" ref="M216:M222" si="113">K216/E216</f>
        <v>0.53955281564014101</v>
      </c>
      <c r="N216" s="151">
        <v>0.59940519200360232</v>
      </c>
      <c r="X216" s="8"/>
      <c r="Y216" s="8"/>
    </row>
    <row r="217" spans="1:25" ht="12.75" customHeight="1" x14ac:dyDescent="0.2">
      <c r="A217" s="686" t="s">
        <v>49</v>
      </c>
      <c r="B217" s="689" t="s">
        <v>50</v>
      </c>
      <c r="C217" s="690"/>
      <c r="D217" s="152">
        <v>195082</v>
      </c>
      <c r="E217" s="153">
        <v>82195</v>
      </c>
      <c r="F217" s="154">
        <f t="shared" si="110"/>
        <v>2.3734047083155909</v>
      </c>
      <c r="G217" s="153">
        <v>159639</v>
      </c>
      <c r="H217" s="155">
        <v>74830</v>
      </c>
      <c r="I217" s="156">
        <f t="shared" si="111"/>
        <v>0.81831742549286968</v>
      </c>
      <c r="J217" s="156">
        <f t="shared" si="112"/>
        <v>0.91039600948962829</v>
      </c>
      <c r="K217" s="153">
        <v>47613</v>
      </c>
      <c r="L217" s="153">
        <v>45543</v>
      </c>
      <c r="M217" s="156">
        <f t="shared" si="113"/>
        <v>0.57926881197153113</v>
      </c>
      <c r="N217" s="157">
        <v>0.63628223974341847</v>
      </c>
      <c r="X217" s="8"/>
      <c r="Y217" s="8"/>
    </row>
    <row r="218" spans="1:25" ht="12.75" customHeight="1" x14ac:dyDescent="0.2">
      <c r="A218" s="687"/>
      <c r="B218" s="691" t="s">
        <v>49</v>
      </c>
      <c r="C218" s="158" t="s">
        <v>51</v>
      </c>
      <c r="D218" s="159">
        <v>73983</v>
      </c>
      <c r="E218" s="160">
        <v>48434</v>
      </c>
      <c r="F218" s="161">
        <f t="shared" si="110"/>
        <v>1.5275013420324566</v>
      </c>
      <c r="G218" s="160">
        <v>61419</v>
      </c>
      <c r="H218" s="162">
        <v>42368</v>
      </c>
      <c r="I218" s="163">
        <f t="shared" si="111"/>
        <v>0.83017720287092978</v>
      </c>
      <c r="J218" s="163">
        <f t="shared" si="112"/>
        <v>0.87475740182516415</v>
      </c>
      <c r="K218" s="160">
        <v>22628</v>
      </c>
      <c r="L218" s="160">
        <v>18336</v>
      </c>
      <c r="M218" s="163">
        <f t="shared" si="113"/>
        <v>0.46719246810092085</v>
      </c>
      <c r="N218" s="164">
        <v>0.53408232628398788</v>
      </c>
      <c r="X218" s="8"/>
      <c r="Y218" s="8"/>
    </row>
    <row r="219" spans="1:25" ht="12.75" customHeight="1" x14ac:dyDescent="0.2">
      <c r="A219" s="687"/>
      <c r="B219" s="692"/>
      <c r="C219" s="165" t="s">
        <v>52</v>
      </c>
      <c r="D219" s="166">
        <v>121099</v>
      </c>
      <c r="E219" s="167">
        <v>61192</v>
      </c>
      <c r="F219" s="168">
        <f t="shared" si="110"/>
        <v>1.9790005229441756</v>
      </c>
      <c r="G219" s="167">
        <v>98220</v>
      </c>
      <c r="H219" s="169">
        <v>54558</v>
      </c>
      <c r="I219" s="170">
        <f t="shared" si="111"/>
        <v>0.81107193288136148</v>
      </c>
      <c r="J219" s="170">
        <f t="shared" si="112"/>
        <v>0.89158713557327751</v>
      </c>
      <c r="K219" s="167">
        <v>32640</v>
      </c>
      <c r="L219" s="167">
        <v>29115</v>
      </c>
      <c r="M219" s="170">
        <f t="shared" si="113"/>
        <v>0.5334030592234279</v>
      </c>
      <c r="N219" s="171">
        <v>0.59826239964808092</v>
      </c>
      <c r="X219" s="8"/>
      <c r="Y219" s="8"/>
    </row>
    <row r="220" spans="1:25" ht="12.75" customHeight="1" x14ac:dyDescent="0.2">
      <c r="A220" s="687"/>
      <c r="B220" s="689" t="s">
        <v>53</v>
      </c>
      <c r="C220" s="690"/>
      <c r="D220" s="152">
        <v>33790</v>
      </c>
      <c r="E220" s="153">
        <v>27807</v>
      </c>
      <c r="F220" s="154">
        <f t="shared" si="110"/>
        <v>1.2151616499442586</v>
      </c>
      <c r="G220" s="153">
        <v>27629</v>
      </c>
      <c r="H220" s="155">
        <v>23571</v>
      </c>
      <c r="I220" s="156">
        <f t="shared" si="111"/>
        <v>0.81766794909736606</v>
      </c>
      <c r="J220" s="156">
        <f t="shared" si="112"/>
        <v>0.84766425720142413</v>
      </c>
      <c r="K220" s="153">
        <v>10260</v>
      </c>
      <c r="L220" s="153">
        <v>9456</v>
      </c>
      <c r="M220" s="156">
        <f t="shared" si="113"/>
        <v>0.36897184162261298</v>
      </c>
      <c r="N220" s="157">
        <v>0.43528064146620848</v>
      </c>
      <c r="X220" s="8"/>
      <c r="Y220" s="8"/>
    </row>
    <row r="221" spans="1:25" ht="12.75" customHeight="1" x14ac:dyDescent="0.2">
      <c r="A221" s="687"/>
      <c r="B221" s="691" t="s">
        <v>49</v>
      </c>
      <c r="C221" s="158" t="s">
        <v>51</v>
      </c>
      <c r="D221" s="159">
        <v>24368</v>
      </c>
      <c r="E221" s="160">
        <v>20691</v>
      </c>
      <c r="F221" s="161">
        <f t="shared" si="110"/>
        <v>1.1777101155091585</v>
      </c>
      <c r="G221" s="160">
        <v>20114</v>
      </c>
      <c r="H221" s="162">
        <v>17619</v>
      </c>
      <c r="I221" s="163">
        <f t="shared" si="111"/>
        <v>0.82542678923177937</v>
      </c>
      <c r="J221" s="163">
        <f t="shared" si="112"/>
        <v>0.85152965057271279</v>
      </c>
      <c r="K221" s="160">
        <v>7117</v>
      </c>
      <c r="L221" s="160">
        <v>6506</v>
      </c>
      <c r="M221" s="163">
        <f t="shared" si="113"/>
        <v>0.34396597554492292</v>
      </c>
      <c r="N221" s="164">
        <v>0.40393892956467448</v>
      </c>
      <c r="X221" s="8"/>
      <c r="Y221" s="8"/>
    </row>
    <row r="222" spans="1:25" ht="12.75" customHeight="1" thickBot="1" x14ac:dyDescent="0.25">
      <c r="A222" s="704"/>
      <c r="B222" s="712"/>
      <c r="C222" s="172" t="s">
        <v>52</v>
      </c>
      <c r="D222" s="173">
        <v>9422</v>
      </c>
      <c r="E222" s="174">
        <v>8556</v>
      </c>
      <c r="F222" s="175">
        <f t="shared" si="110"/>
        <v>1.1012155212716221</v>
      </c>
      <c r="G222" s="174">
        <v>7514</v>
      </c>
      <c r="H222" s="176">
        <v>6942</v>
      </c>
      <c r="I222" s="177">
        <f t="shared" si="111"/>
        <v>0.797495223943961</v>
      </c>
      <c r="J222" s="177">
        <f t="shared" si="112"/>
        <v>0.81136044880785418</v>
      </c>
      <c r="K222" s="174">
        <v>3279</v>
      </c>
      <c r="L222" s="174">
        <v>2991</v>
      </c>
      <c r="M222" s="177">
        <f t="shared" si="113"/>
        <v>0.38323983169705472</v>
      </c>
      <c r="N222" s="178">
        <v>0.47234226447709593</v>
      </c>
      <c r="X222" s="8"/>
      <c r="Y222" s="8"/>
    </row>
    <row r="223" spans="1:25" ht="12.75" customHeight="1" thickBot="1" x14ac:dyDescent="0.25">
      <c r="A223" s="714" t="s">
        <v>8</v>
      </c>
      <c r="B223" s="715"/>
      <c r="C223" s="715"/>
      <c r="D223" s="715"/>
      <c r="E223" s="715"/>
      <c r="F223" s="715"/>
      <c r="G223" s="715"/>
      <c r="H223" s="715"/>
      <c r="I223" s="715"/>
      <c r="J223" s="715"/>
      <c r="K223" s="715"/>
      <c r="L223" s="715"/>
      <c r="M223" s="715"/>
      <c r="N223" s="716"/>
      <c r="X223" s="8"/>
      <c r="Y223" s="8"/>
    </row>
    <row r="224" spans="1:25" ht="12.75" customHeight="1" x14ac:dyDescent="0.2">
      <c r="A224" s="143" t="s">
        <v>48</v>
      </c>
      <c r="B224" s="144"/>
      <c r="C224" s="145"/>
      <c r="D224" s="146">
        <v>247058</v>
      </c>
      <c r="E224" s="147">
        <v>113958</v>
      </c>
      <c r="F224" s="148">
        <v>2.1679741659207776</v>
      </c>
      <c r="G224" s="147">
        <v>203997</v>
      </c>
      <c r="H224" s="149">
        <v>103516</v>
      </c>
      <c r="I224" s="150">
        <f>G224/D224</f>
        <v>0.82570489520679358</v>
      </c>
      <c r="J224" s="150">
        <f t="shared" ref="J224:J230" si="114">+H224/E224</f>
        <v>0.90836975025886735</v>
      </c>
      <c r="K224" s="147">
        <v>64782</v>
      </c>
      <c r="L224" s="147">
        <v>62175</v>
      </c>
      <c r="M224" s="150">
        <f>K224/E224</f>
        <v>0.56847259516664039</v>
      </c>
      <c r="N224" s="151">
        <v>0.62581629892963409</v>
      </c>
      <c r="X224" s="8"/>
      <c r="Y224" s="8"/>
    </row>
    <row r="225" spans="1:25" ht="12.75" customHeight="1" x14ac:dyDescent="0.2">
      <c r="A225" s="686" t="s">
        <v>49</v>
      </c>
      <c r="B225" s="689" t="s">
        <v>50</v>
      </c>
      <c r="C225" s="690"/>
      <c r="D225" s="152">
        <v>212314</v>
      </c>
      <c r="E225" s="153">
        <v>89428</v>
      </c>
      <c r="F225" s="154">
        <v>2.3741333810439684</v>
      </c>
      <c r="G225" s="153">
        <v>175319</v>
      </c>
      <c r="H225" s="155">
        <v>82139</v>
      </c>
      <c r="I225" s="156">
        <f t="shared" ref="I225:I230" si="115">G225/D225</f>
        <v>0.82575336529856724</v>
      </c>
      <c r="J225" s="156">
        <f t="shared" si="114"/>
        <v>0.9184930894127119</v>
      </c>
      <c r="K225" s="153">
        <v>54270</v>
      </c>
      <c r="L225" s="153">
        <v>51900</v>
      </c>
      <c r="M225" s="156">
        <f t="shared" ref="M225:M230" si="116">K225/E225</f>
        <v>0.60685691282372412</v>
      </c>
      <c r="N225" s="157">
        <v>0.66070928547949204</v>
      </c>
      <c r="S225" s="8"/>
      <c r="T225" s="8"/>
      <c r="U225" s="8"/>
      <c r="V225" s="8"/>
      <c r="W225" s="8"/>
      <c r="X225" s="8"/>
      <c r="Y225" s="8"/>
    </row>
    <row r="226" spans="1:25" ht="12.75" customHeight="1" x14ac:dyDescent="0.2">
      <c r="A226" s="687"/>
      <c r="B226" s="691" t="s">
        <v>49</v>
      </c>
      <c r="C226" s="158" t="s">
        <v>51</v>
      </c>
      <c r="D226" s="159">
        <v>119285</v>
      </c>
      <c r="E226" s="160">
        <v>67128</v>
      </c>
      <c r="F226" s="161">
        <v>1.7769783100941485</v>
      </c>
      <c r="G226" s="160">
        <v>98398</v>
      </c>
      <c r="H226" s="162">
        <v>60113</v>
      </c>
      <c r="I226" s="163">
        <f t="shared" si="115"/>
        <v>0.82489835268474665</v>
      </c>
      <c r="J226" s="163">
        <f t="shared" si="114"/>
        <v>0.89549815278274336</v>
      </c>
      <c r="K226" s="160">
        <v>36426</v>
      </c>
      <c r="L226" s="160">
        <v>30899</v>
      </c>
      <c r="M226" s="163">
        <f t="shared" si="116"/>
        <v>0.54263496603503758</v>
      </c>
      <c r="N226" s="164">
        <v>0.60595877763545325</v>
      </c>
      <c r="S226" s="8"/>
      <c r="T226" s="8"/>
      <c r="U226" s="8"/>
      <c r="V226" s="8"/>
      <c r="W226" s="8"/>
      <c r="X226" s="8"/>
      <c r="Y226" s="8"/>
    </row>
    <row r="227" spans="1:25" ht="12.75" customHeight="1" x14ac:dyDescent="0.2">
      <c r="A227" s="687"/>
      <c r="B227" s="692"/>
      <c r="C227" s="165" t="s">
        <v>52</v>
      </c>
      <c r="D227" s="166">
        <v>93029</v>
      </c>
      <c r="E227" s="167">
        <v>52015</v>
      </c>
      <c r="F227" s="168">
        <v>1.7885033163510526</v>
      </c>
      <c r="G227" s="167">
        <v>76921</v>
      </c>
      <c r="H227" s="169">
        <v>46346</v>
      </c>
      <c r="I227" s="170">
        <f t="shared" si="115"/>
        <v>0.82684969203151704</v>
      </c>
      <c r="J227" s="170">
        <f t="shared" si="114"/>
        <v>0.89101220801691816</v>
      </c>
      <c r="K227" s="167">
        <v>26312</v>
      </c>
      <c r="L227" s="167">
        <v>22262</v>
      </c>
      <c r="M227" s="170">
        <f t="shared" si="116"/>
        <v>0.50585408055368641</v>
      </c>
      <c r="N227" s="171">
        <v>0.56772968540974411</v>
      </c>
      <c r="S227" s="8"/>
      <c r="T227" s="8"/>
      <c r="U227" s="8"/>
      <c r="V227" s="8"/>
      <c r="W227" s="8"/>
      <c r="X227" s="8"/>
      <c r="Y227" s="8"/>
    </row>
    <row r="228" spans="1:25" ht="12.75" customHeight="1" x14ac:dyDescent="0.2">
      <c r="A228" s="687"/>
      <c r="B228" s="689" t="s">
        <v>53</v>
      </c>
      <c r="C228" s="690"/>
      <c r="D228" s="152">
        <v>34744</v>
      </c>
      <c r="E228" s="153">
        <v>28694</v>
      </c>
      <c r="F228" s="154">
        <v>1.2108454729211682</v>
      </c>
      <c r="G228" s="153">
        <v>28678</v>
      </c>
      <c r="H228" s="155">
        <v>24524</v>
      </c>
      <c r="I228" s="156">
        <f t="shared" si="115"/>
        <v>0.82540870366106378</v>
      </c>
      <c r="J228" s="156">
        <f t="shared" si="114"/>
        <v>0.8546734508956576</v>
      </c>
      <c r="K228" s="153">
        <v>11261</v>
      </c>
      <c r="L228" s="153">
        <v>10601</v>
      </c>
      <c r="M228" s="156">
        <f t="shared" si="116"/>
        <v>0.39245138356450826</v>
      </c>
      <c r="N228" s="157">
        <v>0.45918284129831999</v>
      </c>
      <c r="S228" s="8"/>
      <c r="T228" s="8"/>
      <c r="U228" s="8"/>
      <c r="V228" s="8"/>
      <c r="W228" s="8"/>
      <c r="X228" s="8"/>
      <c r="Y228" s="8"/>
    </row>
    <row r="229" spans="1:25" ht="12.75" customHeight="1" x14ac:dyDescent="0.2">
      <c r="A229" s="687"/>
      <c r="B229" s="691" t="s">
        <v>49</v>
      </c>
      <c r="C229" s="158" t="s">
        <v>51</v>
      </c>
      <c r="D229" s="159">
        <v>28751</v>
      </c>
      <c r="E229" s="160">
        <v>24288</v>
      </c>
      <c r="F229" s="161">
        <v>1.1837532938076416</v>
      </c>
      <c r="G229" s="160">
        <v>23896</v>
      </c>
      <c r="H229" s="162">
        <v>20757</v>
      </c>
      <c r="I229" s="163">
        <f t="shared" si="115"/>
        <v>0.83113630830231988</v>
      </c>
      <c r="J229" s="163">
        <f t="shared" si="114"/>
        <v>0.85461956521739135</v>
      </c>
      <c r="K229" s="160">
        <v>8994</v>
      </c>
      <c r="L229" s="160">
        <v>8380</v>
      </c>
      <c r="M229" s="163">
        <f t="shared" si="116"/>
        <v>0.37030632411067194</v>
      </c>
      <c r="N229" s="164">
        <v>0.43329960977019799</v>
      </c>
      <c r="S229" s="8"/>
      <c r="T229" s="8"/>
      <c r="U229" s="8"/>
      <c r="V229" s="8"/>
      <c r="W229" s="8"/>
      <c r="X229" s="8"/>
      <c r="Y229" s="8"/>
    </row>
    <row r="230" spans="1:25" ht="12.75" customHeight="1" thickBot="1" x14ac:dyDescent="0.25">
      <c r="A230" s="704"/>
      <c r="B230" s="712"/>
      <c r="C230" s="172" t="s">
        <v>52</v>
      </c>
      <c r="D230" s="173">
        <v>5993</v>
      </c>
      <c r="E230" s="174">
        <v>5595</v>
      </c>
      <c r="F230" s="175">
        <v>1.0711349419124219</v>
      </c>
      <c r="G230" s="174">
        <v>4782</v>
      </c>
      <c r="H230" s="176">
        <v>4546</v>
      </c>
      <c r="I230" s="177">
        <f t="shared" si="115"/>
        <v>0.7979309194059736</v>
      </c>
      <c r="J230" s="177">
        <f t="shared" si="114"/>
        <v>0.8125111706881144</v>
      </c>
      <c r="K230" s="174">
        <v>2388</v>
      </c>
      <c r="L230" s="174">
        <v>2253</v>
      </c>
      <c r="M230" s="177">
        <f t="shared" si="116"/>
        <v>0.42680965147453082</v>
      </c>
      <c r="N230" s="178">
        <v>0.52529696436427631</v>
      </c>
      <c r="S230" s="8"/>
      <c r="T230" s="8"/>
      <c r="U230" s="8"/>
      <c r="V230" s="8"/>
      <c r="W230" s="8"/>
      <c r="X230" s="8"/>
      <c r="Y230" s="8"/>
    </row>
    <row r="231" spans="1:25" ht="12.75" customHeight="1" thickBot="1" x14ac:dyDescent="0.25">
      <c r="A231" s="701" t="s">
        <v>9</v>
      </c>
      <c r="B231" s="702"/>
      <c r="C231" s="702"/>
      <c r="D231" s="702"/>
      <c r="E231" s="702"/>
      <c r="F231" s="702"/>
      <c r="G231" s="702"/>
      <c r="H231" s="702"/>
      <c r="I231" s="702"/>
      <c r="J231" s="702"/>
      <c r="K231" s="702"/>
      <c r="L231" s="702"/>
      <c r="M231" s="702"/>
      <c r="N231" s="710"/>
      <c r="S231" s="8"/>
      <c r="T231" s="8"/>
      <c r="U231" s="8"/>
      <c r="V231" s="8"/>
      <c r="W231" s="8"/>
      <c r="X231" s="8"/>
      <c r="Y231" s="8"/>
    </row>
    <row r="232" spans="1:25" ht="12.75" customHeight="1" x14ac:dyDescent="0.2">
      <c r="A232" s="143" t="s">
        <v>48</v>
      </c>
      <c r="B232" s="144"/>
      <c r="C232" s="145"/>
      <c r="D232" s="146">
        <v>276262</v>
      </c>
      <c r="E232" s="147">
        <v>125092</v>
      </c>
      <c r="F232" s="148">
        <v>2.2084705656636716</v>
      </c>
      <c r="G232" s="147">
        <v>233198</v>
      </c>
      <c r="H232" s="149">
        <v>114166</v>
      </c>
      <c r="I232" s="150">
        <v>0.8441189884964273</v>
      </c>
      <c r="J232" s="150">
        <v>0.91265628497425899</v>
      </c>
      <c r="K232" s="147">
        <v>68698</v>
      </c>
      <c r="L232" s="147">
        <v>65694</v>
      </c>
      <c r="M232" s="150">
        <v>0.54917980366450292</v>
      </c>
      <c r="N232" s="151">
        <v>0.60173782036683421</v>
      </c>
      <c r="S232" s="8"/>
      <c r="T232" s="8"/>
      <c r="U232" s="8"/>
      <c r="V232" s="8"/>
      <c r="W232" s="8"/>
      <c r="X232" s="8"/>
      <c r="Y232" s="8"/>
    </row>
    <row r="233" spans="1:25" ht="12.75" customHeight="1" x14ac:dyDescent="0.2">
      <c r="A233" s="686" t="s">
        <v>49</v>
      </c>
      <c r="B233" s="689" t="s">
        <v>50</v>
      </c>
      <c r="C233" s="690"/>
      <c r="D233" s="152">
        <v>229232</v>
      </c>
      <c r="E233" s="153">
        <v>92723</v>
      </c>
      <c r="F233" s="154">
        <v>2.4722237201125936</v>
      </c>
      <c r="G233" s="153">
        <v>193652</v>
      </c>
      <c r="H233" s="155">
        <v>85777</v>
      </c>
      <c r="I233" s="156">
        <v>0.84478606826272074</v>
      </c>
      <c r="J233" s="156">
        <v>0.92508870506778251</v>
      </c>
      <c r="K233" s="153">
        <v>55941</v>
      </c>
      <c r="L233" s="153">
        <v>53178</v>
      </c>
      <c r="M233" s="156">
        <v>0.60331309383863763</v>
      </c>
      <c r="N233" s="157">
        <v>0.65216783053732352</v>
      </c>
      <c r="S233" s="8"/>
      <c r="T233" s="8"/>
      <c r="U233" s="8"/>
      <c r="V233" s="8"/>
      <c r="W233" s="8"/>
      <c r="X233" s="8"/>
      <c r="Y233" s="8"/>
    </row>
    <row r="234" spans="1:25" ht="12.75" customHeight="1" x14ac:dyDescent="0.2">
      <c r="A234" s="687"/>
      <c r="B234" s="691" t="s">
        <v>49</v>
      </c>
      <c r="C234" s="158" t="s">
        <v>51</v>
      </c>
      <c r="D234" s="159">
        <v>154589</v>
      </c>
      <c r="E234" s="160">
        <v>76714</v>
      </c>
      <c r="F234" s="161">
        <v>2.0151341345777825</v>
      </c>
      <c r="G234" s="160">
        <v>130985</v>
      </c>
      <c r="H234" s="162">
        <v>70054</v>
      </c>
      <c r="I234" s="163">
        <v>0.84731125759271353</v>
      </c>
      <c r="J234" s="163">
        <v>0.91318403420496908</v>
      </c>
      <c r="K234" s="160">
        <v>45087</v>
      </c>
      <c r="L234" s="160">
        <v>40085</v>
      </c>
      <c r="M234" s="163">
        <v>0.58772844591599971</v>
      </c>
      <c r="N234" s="164">
        <v>0.64360350586690263</v>
      </c>
      <c r="S234" s="8"/>
      <c r="T234" s="8"/>
      <c r="U234" s="8"/>
      <c r="V234" s="8"/>
      <c r="W234" s="8"/>
      <c r="X234" s="8"/>
      <c r="Y234" s="196"/>
    </row>
    <row r="235" spans="1:25" ht="12.75" customHeight="1" x14ac:dyDescent="0.2">
      <c r="A235" s="687"/>
      <c r="B235" s="692"/>
      <c r="C235" s="165" t="s">
        <v>52</v>
      </c>
      <c r="D235" s="166">
        <v>74643</v>
      </c>
      <c r="E235" s="167">
        <v>41929</v>
      </c>
      <c r="F235" s="168">
        <v>1.7802237115123185</v>
      </c>
      <c r="G235" s="167">
        <v>62667</v>
      </c>
      <c r="H235" s="169">
        <v>37639</v>
      </c>
      <c r="I235" s="170">
        <v>0.83955628793054937</v>
      </c>
      <c r="J235" s="170">
        <v>0.89768418040020037</v>
      </c>
      <c r="K235" s="167">
        <v>17310</v>
      </c>
      <c r="L235" s="167">
        <v>14081</v>
      </c>
      <c r="M235" s="170">
        <v>0.41284075460898184</v>
      </c>
      <c r="N235" s="171">
        <v>0.45989532134222483</v>
      </c>
      <c r="S235" s="8"/>
      <c r="T235" s="8"/>
      <c r="U235" s="8"/>
      <c r="V235" s="8"/>
      <c r="W235" s="8"/>
      <c r="X235" s="8"/>
      <c r="Y235" s="8"/>
    </row>
    <row r="236" spans="1:25" ht="12.75" customHeight="1" x14ac:dyDescent="0.2">
      <c r="A236" s="687"/>
      <c r="B236" s="689" t="s">
        <v>53</v>
      </c>
      <c r="C236" s="690"/>
      <c r="D236" s="152">
        <v>47030</v>
      </c>
      <c r="E236" s="153">
        <v>37284</v>
      </c>
      <c r="F236" s="154">
        <v>1.2613989915245145</v>
      </c>
      <c r="G236" s="153">
        <v>39546</v>
      </c>
      <c r="H236" s="155">
        <v>32241</v>
      </c>
      <c r="I236" s="156">
        <v>0.84086753136295977</v>
      </c>
      <c r="J236" s="156">
        <v>0.86474090762793687</v>
      </c>
      <c r="K236" s="153">
        <v>13539</v>
      </c>
      <c r="L236" s="153">
        <v>12893</v>
      </c>
      <c r="M236" s="156">
        <v>0.36313163823624073</v>
      </c>
      <c r="N236" s="157">
        <v>0.41993114357495115</v>
      </c>
      <c r="S236" s="8"/>
      <c r="T236" s="8"/>
      <c r="U236" s="8"/>
      <c r="V236" s="8"/>
      <c r="W236" s="8"/>
      <c r="X236" s="8"/>
      <c r="Y236" s="8"/>
    </row>
    <row r="237" spans="1:25" ht="12.75" customHeight="1" x14ac:dyDescent="0.2">
      <c r="A237" s="687"/>
      <c r="B237" s="691" t="s">
        <v>49</v>
      </c>
      <c r="C237" s="158" t="s">
        <v>51</v>
      </c>
      <c r="D237" s="159">
        <v>40420</v>
      </c>
      <c r="E237" s="160">
        <v>32852</v>
      </c>
      <c r="F237" s="161">
        <v>1.2303664921465969</v>
      </c>
      <c r="G237" s="160">
        <v>33916</v>
      </c>
      <c r="H237" s="162">
        <v>28319</v>
      </c>
      <c r="I237" s="163">
        <v>0.83908955962394849</v>
      </c>
      <c r="J237" s="163">
        <v>0.86201753317910634</v>
      </c>
      <c r="K237" s="160">
        <v>11698</v>
      </c>
      <c r="L237" s="160">
        <v>11108</v>
      </c>
      <c r="M237" s="163">
        <v>0.35608182150249607</v>
      </c>
      <c r="N237" s="164">
        <v>0.41307955789399342</v>
      </c>
      <c r="S237" s="8"/>
      <c r="T237" s="8"/>
      <c r="U237" s="8"/>
      <c r="V237" s="8"/>
      <c r="W237" s="8"/>
      <c r="X237" s="8"/>
      <c r="Y237" s="8"/>
    </row>
    <row r="238" spans="1:25" ht="12.75" customHeight="1" thickBot="1" x14ac:dyDescent="0.25">
      <c r="A238" s="704"/>
      <c r="B238" s="712"/>
      <c r="C238" s="172" t="s">
        <v>52</v>
      </c>
      <c r="D238" s="173">
        <v>6610</v>
      </c>
      <c r="E238" s="174">
        <v>6020</v>
      </c>
      <c r="F238" s="175">
        <v>1.0980066445182723</v>
      </c>
      <c r="G238" s="174">
        <v>5630</v>
      </c>
      <c r="H238" s="176">
        <v>5142</v>
      </c>
      <c r="I238" s="177">
        <v>0.85173978819969742</v>
      </c>
      <c r="J238" s="177">
        <v>0.85415282392026581</v>
      </c>
      <c r="K238" s="174">
        <v>1990</v>
      </c>
      <c r="L238" s="174">
        <v>1829</v>
      </c>
      <c r="M238" s="177">
        <v>0.33056478405315615</v>
      </c>
      <c r="N238" s="178">
        <v>0.38700894593543367</v>
      </c>
      <c r="S238" s="8"/>
      <c r="T238" s="8"/>
      <c r="U238" s="8"/>
      <c r="V238" s="8"/>
      <c r="W238" s="8"/>
      <c r="X238" s="8"/>
      <c r="Y238" s="8"/>
    </row>
    <row r="239" spans="1:25" ht="12.75" customHeight="1" thickBot="1" x14ac:dyDescent="0.25">
      <c r="A239" s="701" t="s">
        <v>10</v>
      </c>
      <c r="B239" s="702"/>
      <c r="C239" s="702"/>
      <c r="D239" s="702"/>
      <c r="E239" s="702"/>
      <c r="F239" s="702"/>
      <c r="G239" s="702"/>
      <c r="H239" s="702"/>
      <c r="I239" s="702"/>
      <c r="J239" s="702"/>
      <c r="K239" s="702"/>
      <c r="L239" s="702"/>
      <c r="M239" s="702"/>
      <c r="N239" s="710"/>
      <c r="S239" s="8"/>
      <c r="T239" s="8"/>
      <c r="U239" s="8"/>
      <c r="V239" s="8"/>
      <c r="W239" s="8"/>
      <c r="X239" s="8"/>
      <c r="Y239" s="8"/>
    </row>
    <row r="240" spans="1:25" ht="12.75" customHeight="1" x14ac:dyDescent="0.2">
      <c r="A240" s="143" t="s">
        <v>48</v>
      </c>
      <c r="B240" s="144"/>
      <c r="C240" s="145"/>
      <c r="D240" s="146">
        <v>284645</v>
      </c>
      <c r="E240" s="147">
        <v>125054</v>
      </c>
      <c r="F240" s="148">
        <f>D240/E240</f>
        <v>2.2761766916691988</v>
      </c>
      <c r="G240" s="147">
        <v>239710</v>
      </c>
      <c r="H240" s="149">
        <v>113734</v>
      </c>
      <c r="I240" s="150">
        <f t="shared" ref="I240:I246" si="117">G240/D240</f>
        <v>0.84213669658697676</v>
      </c>
      <c r="J240" s="150">
        <f t="shared" ref="J240:J246" si="118">+H240/E240</f>
        <v>0.90947910502662854</v>
      </c>
      <c r="K240" s="147">
        <v>72277</v>
      </c>
      <c r="L240" s="147">
        <v>68773</v>
      </c>
      <c r="M240" s="150">
        <f t="shared" ref="M240:M246" si="119">+K240/E240</f>
        <v>0.57796631855038627</v>
      </c>
      <c r="N240" s="151">
        <f t="shared" ref="N240:N246" si="120">K240/H240</f>
        <v>0.63549158562962704</v>
      </c>
      <c r="S240" s="8"/>
      <c r="T240" s="8"/>
      <c r="U240" s="8"/>
      <c r="V240" s="8"/>
      <c r="W240" s="8"/>
      <c r="X240" s="8"/>
      <c r="Y240" s="8"/>
    </row>
    <row r="241" spans="1:25" ht="12.75" customHeight="1" x14ac:dyDescent="0.2">
      <c r="A241" s="686" t="s">
        <v>49</v>
      </c>
      <c r="B241" s="689" t="s">
        <v>50</v>
      </c>
      <c r="C241" s="690"/>
      <c r="D241" s="152">
        <v>235798</v>
      </c>
      <c r="E241" s="153">
        <v>92205</v>
      </c>
      <c r="F241" s="154">
        <f t="shared" ref="F241:F246" si="121">D241/E241</f>
        <v>2.557323355566401</v>
      </c>
      <c r="G241" s="153">
        <v>199797</v>
      </c>
      <c r="H241" s="155">
        <v>85482</v>
      </c>
      <c r="I241" s="156">
        <f t="shared" si="117"/>
        <v>0.84732270841991875</v>
      </c>
      <c r="J241" s="156">
        <f t="shared" si="118"/>
        <v>0.92708638360175699</v>
      </c>
      <c r="K241" s="153">
        <v>58338</v>
      </c>
      <c r="L241" s="153">
        <v>55264</v>
      </c>
      <c r="M241" s="156">
        <f t="shared" si="119"/>
        <v>0.63269887750122011</v>
      </c>
      <c r="N241" s="157">
        <f t="shared" si="120"/>
        <v>0.682459465150558</v>
      </c>
      <c r="S241" s="8"/>
      <c r="T241" s="8"/>
      <c r="U241" s="8"/>
      <c r="V241" s="8"/>
      <c r="W241" s="8"/>
      <c r="X241" s="8"/>
      <c r="Y241" s="8"/>
    </row>
    <row r="242" spans="1:25" ht="12.75" customHeight="1" x14ac:dyDescent="0.2">
      <c r="A242" s="687"/>
      <c r="B242" s="691" t="s">
        <v>49</v>
      </c>
      <c r="C242" s="158" t="s">
        <v>51</v>
      </c>
      <c r="D242" s="159">
        <v>171259</v>
      </c>
      <c r="E242" s="160">
        <v>78809</v>
      </c>
      <c r="F242" s="161">
        <f t="shared" si="121"/>
        <v>2.1730893679655878</v>
      </c>
      <c r="G242" s="160">
        <v>145242</v>
      </c>
      <c r="H242" s="162">
        <v>72618</v>
      </c>
      <c r="I242" s="163">
        <f t="shared" si="117"/>
        <v>0.8480838963207773</v>
      </c>
      <c r="J242" s="163">
        <f t="shared" si="118"/>
        <v>0.92144298240048728</v>
      </c>
      <c r="K242" s="160">
        <v>49294</v>
      </c>
      <c r="L242" s="160">
        <v>44228</v>
      </c>
      <c r="M242" s="163">
        <f t="shared" si="119"/>
        <v>0.62548693677118095</v>
      </c>
      <c r="N242" s="164">
        <f t="shared" si="120"/>
        <v>0.67881241565452088</v>
      </c>
      <c r="S242" s="8"/>
      <c r="T242" s="8"/>
      <c r="U242" s="8"/>
      <c r="V242" s="8"/>
      <c r="W242" s="8"/>
      <c r="X242" s="8"/>
      <c r="Y242" s="8"/>
    </row>
    <row r="243" spans="1:25" ht="12.75" customHeight="1" x14ac:dyDescent="0.2">
      <c r="A243" s="687"/>
      <c r="B243" s="692"/>
      <c r="C243" s="165" t="s">
        <v>52</v>
      </c>
      <c r="D243" s="166">
        <v>64539</v>
      </c>
      <c r="E243" s="167">
        <v>34586</v>
      </c>
      <c r="F243" s="168">
        <f t="shared" si="121"/>
        <v>1.8660440640721678</v>
      </c>
      <c r="G243" s="167">
        <v>54555</v>
      </c>
      <c r="H243" s="169">
        <v>30988</v>
      </c>
      <c r="I243" s="170">
        <f t="shared" si="117"/>
        <v>0.84530284014316925</v>
      </c>
      <c r="J243" s="170">
        <f t="shared" si="118"/>
        <v>0.89596946741456085</v>
      </c>
      <c r="K243" s="167">
        <v>14291</v>
      </c>
      <c r="L243" s="167">
        <v>11929</v>
      </c>
      <c r="M243" s="170">
        <f t="shared" si="119"/>
        <v>0.41320187359047011</v>
      </c>
      <c r="N243" s="171">
        <f t="shared" si="120"/>
        <v>0.46117852071769716</v>
      </c>
      <c r="S243" s="8"/>
      <c r="T243" s="8"/>
      <c r="U243" s="8"/>
      <c r="V243" s="8"/>
      <c r="W243" s="8"/>
      <c r="X243" s="8"/>
      <c r="Y243" s="8"/>
    </row>
    <row r="244" spans="1:25" ht="12.75" customHeight="1" x14ac:dyDescent="0.2">
      <c r="A244" s="687"/>
      <c r="B244" s="689" t="s">
        <v>53</v>
      </c>
      <c r="C244" s="690"/>
      <c r="D244" s="152">
        <v>48847</v>
      </c>
      <c r="E244" s="153">
        <v>38407</v>
      </c>
      <c r="F244" s="154">
        <f t="shared" si="121"/>
        <v>1.271825448485953</v>
      </c>
      <c r="G244" s="153">
        <v>39913</v>
      </c>
      <c r="H244" s="155">
        <v>32591</v>
      </c>
      <c r="I244" s="156">
        <f t="shared" si="117"/>
        <v>0.81710238090363785</v>
      </c>
      <c r="J244" s="156">
        <f t="shared" si="118"/>
        <v>0.84856927122659931</v>
      </c>
      <c r="K244" s="153">
        <v>14880</v>
      </c>
      <c r="L244" s="153">
        <v>13939</v>
      </c>
      <c r="M244" s="156">
        <f t="shared" si="119"/>
        <v>0.38742937485354234</v>
      </c>
      <c r="N244" s="157">
        <f t="shared" si="120"/>
        <v>0.45656776410665523</v>
      </c>
      <c r="S244" s="8"/>
      <c r="T244" s="8"/>
      <c r="U244" s="8"/>
      <c r="V244" s="8"/>
      <c r="W244" s="8"/>
      <c r="X244" s="8"/>
      <c r="Y244" s="8"/>
    </row>
    <row r="245" spans="1:25" ht="12.75" customHeight="1" x14ac:dyDescent="0.2">
      <c r="A245" s="687"/>
      <c r="B245" s="691" t="s">
        <v>49</v>
      </c>
      <c r="C245" s="158" t="s">
        <v>51</v>
      </c>
      <c r="D245" s="159">
        <v>44754</v>
      </c>
      <c r="E245" s="160">
        <v>35684</v>
      </c>
      <c r="F245" s="161">
        <f t="shared" si="121"/>
        <v>1.2541755408586481</v>
      </c>
      <c r="G245" s="160">
        <v>36475</v>
      </c>
      <c r="H245" s="162">
        <v>30144</v>
      </c>
      <c r="I245" s="163">
        <f t="shared" si="117"/>
        <v>0.81501094874201185</v>
      </c>
      <c r="J245" s="163">
        <f t="shared" si="118"/>
        <v>0.84474834659791498</v>
      </c>
      <c r="K245" s="160">
        <v>13776</v>
      </c>
      <c r="L245" s="160">
        <v>12847</v>
      </c>
      <c r="M245" s="163">
        <f t="shared" si="119"/>
        <v>0.38605537495796438</v>
      </c>
      <c r="N245" s="164">
        <f t="shared" si="120"/>
        <v>0.4570063694267516</v>
      </c>
      <c r="S245" s="8"/>
      <c r="T245" s="8"/>
      <c r="U245" s="8"/>
      <c r="V245" s="8"/>
      <c r="W245" s="8"/>
      <c r="X245" s="8"/>
      <c r="Y245" s="8"/>
    </row>
    <row r="246" spans="1:25" ht="12.75" customHeight="1" thickBot="1" x14ac:dyDescent="0.25">
      <c r="A246" s="704"/>
      <c r="B246" s="712"/>
      <c r="C246" s="172" t="s">
        <v>52</v>
      </c>
      <c r="D246" s="173">
        <v>4093</v>
      </c>
      <c r="E246" s="174">
        <v>3723</v>
      </c>
      <c r="F246" s="175">
        <f t="shared" si="121"/>
        <v>1.099382218640881</v>
      </c>
      <c r="G246" s="174">
        <v>3438</v>
      </c>
      <c r="H246" s="176">
        <v>3156</v>
      </c>
      <c r="I246" s="177">
        <f t="shared" si="117"/>
        <v>0.83997068165160027</v>
      </c>
      <c r="J246" s="177">
        <f t="shared" si="118"/>
        <v>0.84770346494762283</v>
      </c>
      <c r="K246" s="174">
        <v>1195</v>
      </c>
      <c r="L246" s="174">
        <v>1118</v>
      </c>
      <c r="M246" s="177">
        <f t="shared" si="119"/>
        <v>0.32097770615095356</v>
      </c>
      <c r="N246" s="178">
        <f t="shared" si="120"/>
        <v>0.37864385297845377</v>
      </c>
      <c r="S246" s="8"/>
      <c r="T246" s="8"/>
      <c r="U246" s="8"/>
      <c r="V246" s="8"/>
      <c r="W246" s="8"/>
      <c r="X246" s="8"/>
      <c r="Y246" s="8"/>
    </row>
    <row r="247" spans="1:25" ht="12.75" customHeight="1" thickBot="1" x14ac:dyDescent="0.25">
      <c r="A247" s="701" t="s">
        <v>11</v>
      </c>
      <c r="B247" s="702"/>
      <c r="C247" s="702"/>
      <c r="D247" s="702"/>
      <c r="E247" s="702"/>
      <c r="F247" s="702"/>
      <c r="G247" s="702"/>
      <c r="H247" s="702"/>
      <c r="I247" s="702"/>
      <c r="J247" s="702"/>
      <c r="K247" s="702"/>
      <c r="L247" s="702"/>
      <c r="M247" s="702"/>
      <c r="N247" s="703"/>
      <c r="O247" s="8" t="s">
        <v>58</v>
      </c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2.75" customHeight="1" x14ac:dyDescent="0.2">
      <c r="A248" s="143" t="s">
        <v>48</v>
      </c>
      <c r="B248" s="144"/>
      <c r="C248" s="145"/>
      <c r="D248" s="146">
        <v>290519</v>
      </c>
      <c r="E248" s="147">
        <v>129910</v>
      </c>
      <c r="F248" s="148">
        <v>2.236309752905858</v>
      </c>
      <c r="G248" s="147">
        <v>245444</v>
      </c>
      <c r="H248" s="149">
        <v>119097</v>
      </c>
      <c r="I248" s="150">
        <v>0.84484663653668091</v>
      </c>
      <c r="J248" s="150">
        <v>0.91676545300592716</v>
      </c>
      <c r="K248" s="147">
        <v>79101</v>
      </c>
      <c r="L248" s="147">
        <v>75825</v>
      </c>
      <c r="M248" s="150">
        <v>0.6088907705334462</v>
      </c>
      <c r="N248" s="151">
        <v>0.66417290108063176</v>
      </c>
      <c r="O248" s="8" t="s">
        <v>54</v>
      </c>
      <c r="P248" s="8" t="s">
        <v>54</v>
      </c>
      <c r="Q248" s="8" t="s">
        <v>59</v>
      </c>
      <c r="R248" s="8" t="s">
        <v>60</v>
      </c>
      <c r="S248" s="8" t="s">
        <v>61</v>
      </c>
      <c r="T248" s="8" t="s">
        <v>57</v>
      </c>
      <c r="U248" s="8"/>
      <c r="V248" s="8"/>
      <c r="W248" s="8"/>
      <c r="X248" s="8"/>
      <c r="Y248" s="8"/>
    </row>
    <row r="249" spans="1:25" ht="12.75" customHeight="1" x14ac:dyDescent="0.2">
      <c r="A249" s="686" t="s">
        <v>49</v>
      </c>
      <c r="B249" s="689" t="s">
        <v>50</v>
      </c>
      <c r="C249" s="690"/>
      <c r="D249" s="152">
        <v>237872</v>
      </c>
      <c r="E249" s="153">
        <v>94048</v>
      </c>
      <c r="F249" s="154">
        <v>2.5292616536236814</v>
      </c>
      <c r="G249" s="153">
        <v>201387</v>
      </c>
      <c r="H249" s="155">
        <v>87392</v>
      </c>
      <c r="I249" s="156">
        <v>0.84661919015268716</v>
      </c>
      <c r="J249" s="156">
        <v>0.92922762844504936</v>
      </c>
      <c r="K249" s="153">
        <v>62367</v>
      </c>
      <c r="L249" s="153">
        <v>59542</v>
      </c>
      <c r="M249" s="156">
        <v>0.66314009867301804</v>
      </c>
      <c r="N249" s="157">
        <v>0.713646558037349</v>
      </c>
      <c r="O249" s="8" t="s">
        <v>62</v>
      </c>
      <c r="P249" s="8" t="s">
        <v>63</v>
      </c>
      <c r="Q249" s="8">
        <v>16314</v>
      </c>
      <c r="R249" s="8">
        <v>10.747956017313737</v>
      </c>
      <c r="S249" s="8">
        <v>10.747956017313737</v>
      </c>
      <c r="T249" s="8">
        <v>10.747956017313737</v>
      </c>
      <c r="U249" s="8"/>
      <c r="V249" s="8"/>
      <c r="W249" s="8"/>
      <c r="X249" s="8"/>
      <c r="Y249" s="8"/>
    </row>
    <row r="250" spans="1:25" ht="12.75" customHeight="1" x14ac:dyDescent="0.2">
      <c r="A250" s="687"/>
      <c r="B250" s="691" t="s">
        <v>49</v>
      </c>
      <c r="C250" s="158" t="s">
        <v>51</v>
      </c>
      <c r="D250" s="159">
        <v>184968</v>
      </c>
      <c r="E250" s="160">
        <v>84201</v>
      </c>
      <c r="F250" s="161">
        <v>2.1967435066091854</v>
      </c>
      <c r="G250" s="160">
        <v>156529</v>
      </c>
      <c r="H250" s="162">
        <v>77730</v>
      </c>
      <c r="I250" s="163">
        <v>0.84624908092210549</v>
      </c>
      <c r="J250" s="163">
        <v>0.92314818113799124</v>
      </c>
      <c r="K250" s="160">
        <v>55703</v>
      </c>
      <c r="L250" s="160">
        <v>50650</v>
      </c>
      <c r="M250" s="163">
        <v>0.66154796261327065</v>
      </c>
      <c r="N250" s="164">
        <v>0.71662163900681852</v>
      </c>
      <c r="O250" s="8"/>
      <c r="P250" s="8" t="s">
        <v>64</v>
      </c>
      <c r="Q250" s="8">
        <v>135473</v>
      </c>
      <c r="R250" s="8">
        <v>89.25204398268626</v>
      </c>
      <c r="S250" s="8">
        <v>89.25204398268626</v>
      </c>
      <c r="T250" s="8">
        <v>100</v>
      </c>
      <c r="U250" s="8" t="s">
        <v>57</v>
      </c>
      <c r="V250" s="8"/>
      <c r="W250" s="8"/>
      <c r="X250" s="8"/>
      <c r="Y250" s="8"/>
    </row>
    <row r="251" spans="1:25" ht="12.75" customHeight="1" x14ac:dyDescent="0.2">
      <c r="A251" s="687"/>
      <c r="B251" s="692"/>
      <c r="C251" s="165" t="s">
        <v>52</v>
      </c>
      <c r="D251" s="166">
        <v>52904</v>
      </c>
      <c r="E251" s="167">
        <v>28862</v>
      </c>
      <c r="F251" s="168">
        <v>1.832998406208856</v>
      </c>
      <c r="G251" s="167">
        <v>44858</v>
      </c>
      <c r="H251" s="169">
        <v>26012</v>
      </c>
      <c r="I251" s="170">
        <v>0.84791320127022529</v>
      </c>
      <c r="J251" s="170">
        <v>0.90125424433511192</v>
      </c>
      <c r="K251" s="167">
        <v>11727</v>
      </c>
      <c r="L251" s="167">
        <v>9740</v>
      </c>
      <c r="M251" s="170">
        <v>0.40631279883583954</v>
      </c>
      <c r="N251" s="171">
        <v>0.45083038597570352</v>
      </c>
      <c r="O251" s="8"/>
      <c r="P251" s="8" t="s">
        <v>65</v>
      </c>
      <c r="Q251" s="8">
        <v>151787</v>
      </c>
      <c r="R251" s="8">
        <v>100</v>
      </c>
      <c r="S251" s="8">
        <v>100</v>
      </c>
      <c r="T251" s="8"/>
      <c r="U251" s="8">
        <v>23.883733146559273</v>
      </c>
      <c r="V251" s="8"/>
      <c r="W251" s="8"/>
      <c r="X251" s="8"/>
      <c r="Y251" s="8"/>
    </row>
    <row r="252" spans="1:25" ht="12.75" customHeight="1" x14ac:dyDescent="0.2">
      <c r="A252" s="687"/>
      <c r="B252" s="689" t="s">
        <v>53</v>
      </c>
      <c r="C252" s="690"/>
      <c r="D252" s="152">
        <v>52647</v>
      </c>
      <c r="E252" s="153">
        <v>41827</v>
      </c>
      <c r="F252" s="154">
        <v>1.2586845817295049</v>
      </c>
      <c r="G252" s="153">
        <v>44057</v>
      </c>
      <c r="H252" s="155">
        <v>36361</v>
      </c>
      <c r="I252" s="156">
        <v>0.8368378065226888</v>
      </c>
      <c r="J252" s="156">
        <v>0.86931886102278433</v>
      </c>
      <c r="K252" s="153">
        <v>17917</v>
      </c>
      <c r="L252" s="153">
        <v>16794</v>
      </c>
      <c r="M252" s="156">
        <v>0.42835967198221242</v>
      </c>
      <c r="N252" s="157">
        <v>0.49275322460878412</v>
      </c>
      <c r="O252" s="8"/>
      <c r="P252" s="8"/>
      <c r="Q252" s="8"/>
      <c r="R252" s="8"/>
      <c r="S252" s="8"/>
      <c r="T252" s="8"/>
      <c r="U252" s="8">
        <v>100</v>
      </c>
      <c r="V252" s="8"/>
      <c r="W252" s="8"/>
      <c r="X252" s="8"/>
      <c r="Y252" s="8"/>
    </row>
    <row r="253" spans="1:25" ht="12.75" customHeight="1" x14ac:dyDescent="0.2">
      <c r="A253" s="687"/>
      <c r="B253" s="691" t="s">
        <v>49</v>
      </c>
      <c r="C253" s="158" t="s">
        <v>51</v>
      </c>
      <c r="D253" s="159">
        <v>48012</v>
      </c>
      <c r="E253" s="160">
        <v>38922</v>
      </c>
      <c r="F253" s="161">
        <v>1.2335440110991214</v>
      </c>
      <c r="G253" s="160">
        <v>40139</v>
      </c>
      <c r="H253" s="162">
        <v>33690</v>
      </c>
      <c r="I253" s="163">
        <v>0.83602016162626014</v>
      </c>
      <c r="J253" s="163">
        <v>0.86557730846308001</v>
      </c>
      <c r="K253" s="160">
        <v>16829</v>
      </c>
      <c r="L253" s="160">
        <v>15718</v>
      </c>
      <c r="M253" s="163">
        <v>0.43237757566414881</v>
      </c>
      <c r="N253" s="164">
        <v>0.49952508162659542</v>
      </c>
      <c r="P253" s="179"/>
      <c r="Q253" s="179"/>
      <c r="R253" s="179"/>
      <c r="S253" s="179"/>
      <c r="T253" s="179"/>
      <c r="U253" s="8"/>
      <c r="V253" s="8"/>
      <c r="W253" s="8"/>
      <c r="X253" s="8"/>
      <c r="Y253" s="8"/>
    </row>
    <row r="254" spans="1:25" ht="12.75" customHeight="1" thickBot="1" x14ac:dyDescent="0.25">
      <c r="A254" s="704"/>
      <c r="B254" s="712"/>
      <c r="C254" s="172" t="s">
        <v>52</v>
      </c>
      <c r="D254" s="173">
        <v>4635</v>
      </c>
      <c r="E254" s="174">
        <v>4123</v>
      </c>
      <c r="F254" s="175">
        <v>1.1241814212951735</v>
      </c>
      <c r="G254" s="174">
        <v>3918</v>
      </c>
      <c r="H254" s="176">
        <v>3544</v>
      </c>
      <c r="I254" s="177">
        <v>0.84530744336569574</v>
      </c>
      <c r="J254" s="177">
        <v>0.85956827552752846</v>
      </c>
      <c r="K254" s="174">
        <v>1174</v>
      </c>
      <c r="L254" s="174">
        <v>1098</v>
      </c>
      <c r="M254" s="177">
        <v>0.28474411836041719</v>
      </c>
      <c r="N254" s="178">
        <v>0.33126410835214448</v>
      </c>
      <c r="S254" s="8"/>
      <c r="T254" s="8"/>
      <c r="U254" s="8"/>
      <c r="V254" s="8"/>
      <c r="W254" s="8"/>
      <c r="X254" s="8"/>
      <c r="Y254" s="8"/>
    </row>
    <row r="255" spans="1:25" ht="12.75" customHeight="1" thickBot="1" x14ac:dyDescent="0.25">
      <c r="A255" s="701" t="s">
        <v>12</v>
      </c>
      <c r="B255" s="702"/>
      <c r="C255" s="702"/>
      <c r="D255" s="702"/>
      <c r="E255" s="702"/>
      <c r="F255" s="702"/>
      <c r="G255" s="702"/>
      <c r="H255" s="702"/>
      <c r="I255" s="702"/>
      <c r="J255" s="702"/>
      <c r="K255" s="702"/>
      <c r="L255" s="702"/>
      <c r="M255" s="702"/>
      <c r="N255" s="710"/>
      <c r="S255" s="8"/>
      <c r="T255" s="8"/>
      <c r="U255" s="8"/>
      <c r="V255" s="8"/>
      <c r="W255" s="8"/>
      <c r="X255" s="8"/>
      <c r="Y255" s="8"/>
    </row>
    <row r="256" spans="1:25" ht="12.75" customHeight="1" x14ac:dyDescent="0.2">
      <c r="A256" s="143" t="s">
        <v>48</v>
      </c>
      <c r="B256" s="144"/>
      <c r="C256" s="145"/>
      <c r="D256" s="146">
        <v>306195</v>
      </c>
      <c r="E256" s="147">
        <v>135473</v>
      </c>
      <c r="F256" s="148">
        <v>2.2601920677921061</v>
      </c>
      <c r="G256" s="147">
        <v>258371</v>
      </c>
      <c r="H256" s="149">
        <v>123631</v>
      </c>
      <c r="I256" s="150">
        <v>0.84381194990120678</v>
      </c>
      <c r="J256" s="150">
        <v>0.91258774811216992</v>
      </c>
      <c r="K256" s="147">
        <v>83559</v>
      </c>
      <c r="L256" s="147">
        <v>79378</v>
      </c>
      <c r="M256" s="150">
        <v>0.61679449041506429</v>
      </c>
      <c r="N256" s="151">
        <v>0.67587417395313476</v>
      </c>
      <c r="S256" s="8"/>
      <c r="T256" s="8"/>
      <c r="U256" s="8"/>
      <c r="V256" s="8"/>
      <c r="W256" s="8"/>
      <c r="X256" s="8"/>
      <c r="Y256" s="8"/>
    </row>
    <row r="257" spans="1:25" ht="12.75" customHeight="1" x14ac:dyDescent="0.2">
      <c r="A257" s="686" t="s">
        <v>49</v>
      </c>
      <c r="B257" s="689" t="s">
        <v>50</v>
      </c>
      <c r="C257" s="690"/>
      <c r="D257" s="152">
        <v>246585</v>
      </c>
      <c r="E257" s="153">
        <v>95849</v>
      </c>
      <c r="F257" s="154">
        <v>2.5726402988033259</v>
      </c>
      <c r="G257" s="153">
        <v>208968</v>
      </c>
      <c r="H257" s="155">
        <v>89065</v>
      </c>
      <c r="I257" s="156">
        <v>0.84744814161445348</v>
      </c>
      <c r="J257" s="156">
        <v>0.92922200544606626</v>
      </c>
      <c r="K257" s="153">
        <v>64506</v>
      </c>
      <c r="L257" s="153">
        <v>60858</v>
      </c>
      <c r="M257" s="156">
        <v>0.67299606672996071</v>
      </c>
      <c r="N257" s="157">
        <v>0.72425756469993829</v>
      </c>
      <c r="S257" s="8"/>
      <c r="T257" s="8"/>
      <c r="U257" s="8"/>
      <c r="V257" s="8"/>
      <c r="W257" s="8"/>
      <c r="X257" s="8"/>
      <c r="Y257" s="8"/>
    </row>
    <row r="258" spans="1:25" ht="12.75" customHeight="1" x14ac:dyDescent="0.2">
      <c r="A258" s="687"/>
      <c r="B258" s="691" t="s">
        <v>49</v>
      </c>
      <c r="C258" s="158" t="s">
        <v>51</v>
      </c>
      <c r="D258" s="159">
        <v>203938</v>
      </c>
      <c r="E258" s="160">
        <v>88678</v>
      </c>
      <c r="F258" s="161">
        <v>2.2997586774622794</v>
      </c>
      <c r="G258" s="160">
        <v>172898</v>
      </c>
      <c r="H258" s="162">
        <v>82241</v>
      </c>
      <c r="I258" s="163">
        <v>0.84779687944375248</v>
      </c>
      <c r="J258" s="163">
        <v>0.92741153386409259</v>
      </c>
      <c r="K258" s="160">
        <v>60430</v>
      </c>
      <c r="L258" s="160">
        <v>54775</v>
      </c>
      <c r="M258" s="163">
        <v>0.68145425020861994</v>
      </c>
      <c r="N258" s="164">
        <v>0.73479164893422988</v>
      </c>
      <c r="X258" s="8"/>
      <c r="Y258" s="8"/>
    </row>
    <row r="259" spans="1:25" ht="12.75" customHeight="1" x14ac:dyDescent="0.2">
      <c r="A259" s="687"/>
      <c r="B259" s="692"/>
      <c r="C259" s="165" t="s">
        <v>52</v>
      </c>
      <c r="D259" s="166">
        <v>42647</v>
      </c>
      <c r="E259" s="167">
        <v>23151</v>
      </c>
      <c r="F259" s="168">
        <v>1.8421234503909119</v>
      </c>
      <c r="G259" s="167">
        <v>36070</v>
      </c>
      <c r="H259" s="169">
        <v>20645</v>
      </c>
      <c r="I259" s="170">
        <v>0.84578047693858893</v>
      </c>
      <c r="J259" s="170">
        <v>0.89175413589045827</v>
      </c>
      <c r="K259" s="167">
        <v>8152</v>
      </c>
      <c r="L259" s="167">
        <v>6771</v>
      </c>
      <c r="M259" s="170">
        <v>0.35212301844412769</v>
      </c>
      <c r="N259" s="171">
        <v>0.39486558488738194</v>
      </c>
      <c r="X259" s="8"/>
      <c r="Y259" s="8"/>
    </row>
    <row r="260" spans="1:25" ht="12.75" customHeight="1" x14ac:dyDescent="0.2">
      <c r="A260" s="687"/>
      <c r="B260" s="689" t="s">
        <v>53</v>
      </c>
      <c r="C260" s="690"/>
      <c r="D260" s="152">
        <v>59610</v>
      </c>
      <c r="E260" s="153">
        <v>46167</v>
      </c>
      <c r="F260" s="154">
        <v>1.291182013126259</v>
      </c>
      <c r="G260" s="153">
        <v>49403</v>
      </c>
      <c r="H260" s="155">
        <v>39732</v>
      </c>
      <c r="I260" s="156">
        <v>0.82877034054688814</v>
      </c>
      <c r="J260" s="156">
        <v>0.86061472480343104</v>
      </c>
      <c r="K260" s="153">
        <v>20402</v>
      </c>
      <c r="L260" s="153">
        <v>19096</v>
      </c>
      <c r="M260" s="156">
        <v>0.44191738687807308</v>
      </c>
      <c r="N260" s="157">
        <v>0.51349038558340887</v>
      </c>
      <c r="X260" s="8"/>
      <c r="Y260" s="8"/>
    </row>
    <row r="261" spans="1:25" ht="12.75" customHeight="1" x14ac:dyDescent="0.2">
      <c r="A261" s="687"/>
      <c r="B261" s="691" t="s">
        <v>49</v>
      </c>
      <c r="C261" s="158" t="s">
        <v>51</v>
      </c>
      <c r="D261" s="159">
        <v>56609</v>
      </c>
      <c r="E261" s="160">
        <v>44316</v>
      </c>
      <c r="F261" s="161">
        <v>1.2773941691488402</v>
      </c>
      <c r="G261" s="160">
        <v>46850</v>
      </c>
      <c r="H261" s="162">
        <v>38041</v>
      </c>
      <c r="I261" s="163">
        <v>0.82760691762793903</v>
      </c>
      <c r="J261" s="163">
        <v>0.85840328549508083</v>
      </c>
      <c r="K261" s="160">
        <v>19527</v>
      </c>
      <c r="L261" s="160">
        <v>18272</v>
      </c>
      <c r="M261" s="163">
        <v>0.44063092336853504</v>
      </c>
      <c r="N261" s="164">
        <v>0.51331458163560373</v>
      </c>
      <c r="X261" s="8"/>
      <c r="Y261" s="8"/>
    </row>
    <row r="262" spans="1:25" ht="12.75" customHeight="1" thickBot="1" x14ac:dyDescent="0.25">
      <c r="A262" s="704"/>
      <c r="B262" s="712"/>
      <c r="C262" s="172" t="s">
        <v>52</v>
      </c>
      <c r="D262" s="173">
        <v>3001</v>
      </c>
      <c r="E262" s="174">
        <v>2683</v>
      </c>
      <c r="F262" s="175">
        <v>1.1185240402534475</v>
      </c>
      <c r="G262" s="174">
        <v>2553</v>
      </c>
      <c r="H262" s="176">
        <v>2327</v>
      </c>
      <c r="I262" s="177">
        <v>0.85071642785738089</v>
      </c>
      <c r="J262" s="177">
        <v>0.86731270965337304</v>
      </c>
      <c r="K262" s="174">
        <v>955</v>
      </c>
      <c r="L262" s="174">
        <v>855</v>
      </c>
      <c r="M262" s="177">
        <v>0.35594483786805814</v>
      </c>
      <c r="N262" s="178">
        <v>0.41039965620971208</v>
      </c>
      <c r="X262" s="8"/>
      <c r="Y262" s="8"/>
    </row>
    <row r="263" spans="1:25" ht="12.75" customHeight="1" thickBot="1" x14ac:dyDescent="0.25">
      <c r="A263" s="701" t="s">
        <v>13</v>
      </c>
      <c r="B263" s="702"/>
      <c r="C263" s="702"/>
      <c r="D263" s="702"/>
      <c r="E263" s="702"/>
      <c r="F263" s="702"/>
      <c r="G263" s="702"/>
      <c r="H263" s="702"/>
      <c r="I263" s="702"/>
      <c r="J263" s="702"/>
      <c r="K263" s="702"/>
      <c r="L263" s="702"/>
      <c r="M263" s="702"/>
      <c r="N263" s="710"/>
      <c r="X263" s="8"/>
      <c r="Y263" s="8"/>
    </row>
    <row r="264" spans="1:25" ht="12.75" customHeight="1" x14ac:dyDescent="0.2">
      <c r="A264" s="180" t="s">
        <v>48</v>
      </c>
      <c r="B264" s="145"/>
      <c r="C264" s="145"/>
      <c r="D264" s="146">
        <v>300856</v>
      </c>
      <c r="E264" s="181">
        <v>134261</v>
      </c>
      <c r="F264" s="148">
        <f>D264/E264</f>
        <v>2.2408294292460207</v>
      </c>
      <c r="G264" s="149">
        <v>255963</v>
      </c>
      <c r="H264" s="149">
        <v>123164</v>
      </c>
      <c r="I264" s="150">
        <f t="shared" ref="I264:I270" si="122">G264/D264</f>
        <v>0.85078243412130716</v>
      </c>
      <c r="J264" s="150">
        <f t="shared" ref="J264:J270" si="123">+H264/E264</f>
        <v>0.91734755439032933</v>
      </c>
      <c r="K264" s="149">
        <v>88702</v>
      </c>
      <c r="L264" s="149">
        <v>84057</v>
      </c>
      <c r="M264" s="150">
        <f t="shared" ref="M264:M270" si="124">+K264/E264</f>
        <v>0.66066839960971535</v>
      </c>
      <c r="N264" s="151">
        <f t="shared" ref="N264:N270" si="125">K264/H264</f>
        <v>0.72019421259458938</v>
      </c>
      <c r="X264" s="8"/>
      <c r="Y264" s="8"/>
    </row>
    <row r="265" spans="1:25" ht="12.75" customHeight="1" x14ac:dyDescent="0.2">
      <c r="A265" s="686" t="s">
        <v>49</v>
      </c>
      <c r="B265" s="689" t="s">
        <v>50</v>
      </c>
      <c r="C265" s="690"/>
      <c r="D265" s="152">
        <v>241976</v>
      </c>
      <c r="E265" s="182">
        <v>94854</v>
      </c>
      <c r="F265" s="154">
        <f t="shared" ref="F265:F270" si="126">D265/E265</f>
        <v>2.551036329516942</v>
      </c>
      <c r="G265" s="155">
        <v>206654</v>
      </c>
      <c r="H265" s="155">
        <v>88461</v>
      </c>
      <c r="I265" s="156">
        <f t="shared" si="122"/>
        <v>0.85402684563758391</v>
      </c>
      <c r="J265" s="156">
        <f t="shared" si="123"/>
        <v>0.93260168258586884</v>
      </c>
      <c r="K265" s="155">
        <v>67652</v>
      </c>
      <c r="L265" s="155">
        <v>63771</v>
      </c>
      <c r="M265" s="156">
        <f t="shared" si="124"/>
        <v>0.71322242604423636</v>
      </c>
      <c r="N265" s="157">
        <f t="shared" si="125"/>
        <v>0.76476639423022574</v>
      </c>
      <c r="X265" s="8"/>
      <c r="Y265" s="8"/>
    </row>
    <row r="266" spans="1:25" ht="12.75" customHeight="1" x14ac:dyDescent="0.2">
      <c r="A266" s="687"/>
      <c r="B266" s="691" t="s">
        <v>49</v>
      </c>
      <c r="C266" s="158" t="s">
        <v>51</v>
      </c>
      <c r="D266" s="159">
        <v>204269</v>
      </c>
      <c r="E266" s="183">
        <v>88451</v>
      </c>
      <c r="F266" s="161">
        <f t="shared" si="126"/>
        <v>2.3094029462640333</v>
      </c>
      <c r="G266" s="162">
        <v>175188</v>
      </c>
      <c r="H266" s="162">
        <v>72752</v>
      </c>
      <c r="I266" s="163">
        <f t="shared" si="122"/>
        <v>0.85763380640234199</v>
      </c>
      <c r="J266" s="163">
        <f t="shared" si="123"/>
        <v>0.82251189924364898</v>
      </c>
      <c r="K266" s="162">
        <v>64183</v>
      </c>
      <c r="L266" s="162">
        <v>58320</v>
      </c>
      <c r="M266" s="163">
        <f t="shared" si="124"/>
        <v>0.72563340154435785</v>
      </c>
      <c r="N266" s="164">
        <f t="shared" si="125"/>
        <v>0.88221629645920385</v>
      </c>
      <c r="X266" s="8"/>
      <c r="Y266" s="8"/>
    </row>
    <row r="267" spans="1:25" ht="12.75" customHeight="1" x14ac:dyDescent="0.2">
      <c r="A267" s="687"/>
      <c r="B267" s="711"/>
      <c r="C267" s="165" t="s">
        <v>52</v>
      </c>
      <c r="D267" s="166">
        <v>37707</v>
      </c>
      <c r="E267" s="184">
        <v>20124</v>
      </c>
      <c r="F267" s="168">
        <f t="shared" si="126"/>
        <v>1.8737328562909958</v>
      </c>
      <c r="G267" s="169">
        <v>31466</v>
      </c>
      <c r="H267" s="169">
        <v>15709</v>
      </c>
      <c r="I267" s="170">
        <f t="shared" si="122"/>
        <v>0.83448696528496036</v>
      </c>
      <c r="J267" s="170">
        <f t="shared" si="123"/>
        <v>0.78061021665672825</v>
      </c>
      <c r="K267" s="169">
        <v>7198</v>
      </c>
      <c r="L267" s="169">
        <v>6123</v>
      </c>
      <c r="M267" s="170">
        <f t="shared" si="124"/>
        <v>0.3576823693102763</v>
      </c>
      <c r="N267" s="171">
        <f t="shared" si="125"/>
        <v>0.45820867018906358</v>
      </c>
      <c r="X267" s="8"/>
      <c r="Y267" s="8"/>
    </row>
    <row r="268" spans="1:25" ht="12.75" customHeight="1" x14ac:dyDescent="0.2">
      <c r="A268" s="687"/>
      <c r="B268" s="689" t="s">
        <v>53</v>
      </c>
      <c r="C268" s="690"/>
      <c r="D268" s="152">
        <v>58880</v>
      </c>
      <c r="E268" s="182">
        <v>46184</v>
      </c>
      <c r="F268" s="154">
        <f t="shared" si="126"/>
        <v>1.2749003984063745</v>
      </c>
      <c r="G268" s="155">
        <v>49309</v>
      </c>
      <c r="H268" s="155">
        <v>40137</v>
      </c>
      <c r="I268" s="156">
        <f t="shared" si="122"/>
        <v>0.8374490489130435</v>
      </c>
      <c r="J268" s="156">
        <f t="shared" si="123"/>
        <v>0.86906720942317683</v>
      </c>
      <c r="K268" s="155">
        <v>22679</v>
      </c>
      <c r="L268" s="155">
        <v>20962</v>
      </c>
      <c r="M268" s="156">
        <f t="shared" si="124"/>
        <v>0.49105750909405854</v>
      </c>
      <c r="N268" s="157">
        <f t="shared" si="125"/>
        <v>0.56503973889428705</v>
      </c>
      <c r="X268" s="8"/>
      <c r="Y268" s="8"/>
    </row>
    <row r="269" spans="1:25" ht="12.75" customHeight="1" x14ac:dyDescent="0.2">
      <c r="A269" s="687"/>
      <c r="B269" s="691" t="s">
        <v>49</v>
      </c>
      <c r="C269" s="158" t="s">
        <v>51</v>
      </c>
      <c r="D269" s="159">
        <v>56983</v>
      </c>
      <c r="E269" s="183">
        <v>45069</v>
      </c>
      <c r="F269" s="161">
        <f t="shared" si="126"/>
        <v>1.2643502185537732</v>
      </c>
      <c r="G269" s="162">
        <v>47832</v>
      </c>
      <c r="H269" s="162">
        <v>38832</v>
      </c>
      <c r="I269" s="163">
        <f t="shared" si="122"/>
        <v>0.83940824456416829</v>
      </c>
      <c r="J269" s="163">
        <f t="shared" si="123"/>
        <v>0.86161219463489314</v>
      </c>
      <c r="K269" s="162">
        <v>22111</v>
      </c>
      <c r="L269" s="162">
        <v>20391</v>
      </c>
      <c r="M269" s="163">
        <f t="shared" si="124"/>
        <v>0.49060329716656681</v>
      </c>
      <c r="N269" s="164">
        <f t="shared" si="125"/>
        <v>0.56940152451586323</v>
      </c>
      <c r="X269" s="8"/>
      <c r="Y269" s="8"/>
    </row>
    <row r="270" spans="1:25" ht="12.75" customHeight="1" thickBot="1" x14ac:dyDescent="0.25">
      <c r="A270" s="688"/>
      <c r="B270" s="693"/>
      <c r="C270" s="185" t="s">
        <v>52</v>
      </c>
      <c r="D270" s="186">
        <v>1897</v>
      </c>
      <c r="E270" s="187">
        <v>1699</v>
      </c>
      <c r="F270" s="188">
        <f t="shared" si="126"/>
        <v>1.116539140670983</v>
      </c>
      <c r="G270" s="189">
        <v>1477</v>
      </c>
      <c r="H270" s="189">
        <v>1311</v>
      </c>
      <c r="I270" s="190">
        <f t="shared" si="122"/>
        <v>0.77859778597785978</v>
      </c>
      <c r="J270" s="190">
        <f t="shared" si="123"/>
        <v>0.77163037080635666</v>
      </c>
      <c r="K270" s="189">
        <v>657</v>
      </c>
      <c r="L270" s="189">
        <v>591</v>
      </c>
      <c r="M270" s="190">
        <f t="shared" si="124"/>
        <v>0.3866980576809888</v>
      </c>
      <c r="N270" s="191">
        <f t="shared" si="125"/>
        <v>0.50114416475972545</v>
      </c>
      <c r="X270" s="8"/>
      <c r="Y270" s="8"/>
    </row>
    <row r="271" spans="1:25" ht="12.75" customHeight="1" thickTop="1" thickBot="1" x14ac:dyDescent="0.25">
      <c r="A271" s="701" t="s">
        <v>14</v>
      </c>
      <c r="B271" s="702"/>
      <c r="C271" s="702"/>
      <c r="D271" s="702"/>
      <c r="E271" s="702"/>
      <c r="F271" s="702"/>
      <c r="G271" s="702"/>
      <c r="H271" s="702"/>
      <c r="I271" s="702"/>
      <c r="J271" s="702"/>
      <c r="K271" s="702"/>
      <c r="L271" s="702"/>
      <c r="M271" s="702"/>
      <c r="N271" s="710"/>
      <c r="X271" s="8"/>
      <c r="Y271" s="8"/>
    </row>
    <row r="272" spans="1:25" ht="12.75" customHeight="1" x14ac:dyDescent="0.2">
      <c r="A272" s="180" t="s">
        <v>48</v>
      </c>
      <c r="B272" s="145"/>
      <c r="C272" s="145"/>
      <c r="D272" s="146">
        <v>306512</v>
      </c>
      <c r="E272" s="181">
        <v>134108</v>
      </c>
      <c r="F272" s="148">
        <f>D272/E272</f>
        <v>2.285560891222</v>
      </c>
      <c r="G272" s="149">
        <v>264761</v>
      </c>
      <c r="H272" s="149">
        <v>124081</v>
      </c>
      <c r="I272" s="150">
        <f t="shared" ref="I272:I278" si="127">G272/D272</f>
        <v>0.86378673591898525</v>
      </c>
      <c r="J272" s="150">
        <f t="shared" ref="J272:J278" si="128">+H272/E272</f>
        <v>0.92523190264562893</v>
      </c>
      <c r="K272" s="149">
        <v>91403</v>
      </c>
      <c r="L272" s="149">
        <v>86115</v>
      </c>
      <c r="M272" s="150">
        <f t="shared" ref="M272:M278" si="129">+K272/E272</f>
        <v>0.68156262117099653</v>
      </c>
      <c r="N272" s="151">
        <f t="shared" ref="N272:N278" si="130">K272/H272</f>
        <v>0.73663977563043492</v>
      </c>
    </row>
    <row r="273" spans="1:25" ht="12.75" customHeight="1" x14ac:dyDescent="0.2">
      <c r="A273" s="686" t="s">
        <v>49</v>
      </c>
      <c r="B273" s="689" t="s">
        <v>50</v>
      </c>
      <c r="C273" s="690"/>
      <c r="D273" s="152">
        <v>248843</v>
      </c>
      <c r="E273" s="182">
        <v>96277</v>
      </c>
      <c r="F273" s="154">
        <f t="shared" ref="F273:F278" si="131">D273/E273</f>
        <v>2.5846567716069258</v>
      </c>
      <c r="G273" s="155">
        <v>216118</v>
      </c>
      <c r="H273" s="155">
        <v>90474</v>
      </c>
      <c r="I273" s="156">
        <f t="shared" si="127"/>
        <v>0.86849137809783683</v>
      </c>
      <c r="J273" s="156">
        <f t="shared" si="128"/>
        <v>0.93972599894055697</v>
      </c>
      <c r="K273" s="155">
        <v>69537</v>
      </c>
      <c r="L273" s="155">
        <v>64962</v>
      </c>
      <c r="M273" s="156">
        <f t="shared" si="129"/>
        <v>0.72225972973815133</v>
      </c>
      <c r="N273" s="157">
        <f t="shared" si="130"/>
        <v>0.7685854499635254</v>
      </c>
    </row>
    <row r="274" spans="1:25" ht="12.75" customHeight="1" x14ac:dyDescent="0.2">
      <c r="A274" s="687"/>
      <c r="B274" s="691" t="s">
        <v>49</v>
      </c>
      <c r="C274" s="158" t="s">
        <v>51</v>
      </c>
      <c r="D274" s="159">
        <v>213290</v>
      </c>
      <c r="E274" s="183">
        <v>90740</v>
      </c>
      <c r="F274" s="161">
        <f t="shared" si="131"/>
        <v>2.3505620454044522</v>
      </c>
      <c r="G274" s="162">
        <v>185472</v>
      </c>
      <c r="H274" s="162">
        <v>85252</v>
      </c>
      <c r="I274" s="163">
        <f t="shared" si="127"/>
        <v>0.86957663275352803</v>
      </c>
      <c r="J274" s="163">
        <f t="shared" si="128"/>
        <v>0.9395195062816839</v>
      </c>
      <c r="K274" s="162">
        <v>66510</v>
      </c>
      <c r="L274" s="162">
        <v>60034</v>
      </c>
      <c r="M274" s="163">
        <f t="shared" si="129"/>
        <v>0.73297333039453383</v>
      </c>
      <c r="N274" s="164">
        <f t="shared" si="130"/>
        <v>0.7801576502604044</v>
      </c>
    </row>
    <row r="275" spans="1:25" ht="12.75" customHeight="1" x14ac:dyDescent="0.2">
      <c r="A275" s="687"/>
      <c r="B275" s="711"/>
      <c r="C275" s="165" t="s">
        <v>52</v>
      </c>
      <c r="D275" s="166">
        <v>35553</v>
      </c>
      <c r="E275" s="184">
        <v>18416</v>
      </c>
      <c r="F275" s="168">
        <f t="shared" si="131"/>
        <v>1.930549522154648</v>
      </c>
      <c r="G275" s="169">
        <v>30646</v>
      </c>
      <c r="H275" s="169">
        <v>16740</v>
      </c>
      <c r="I275" s="170">
        <f t="shared" si="127"/>
        <v>0.86198070486316203</v>
      </c>
      <c r="J275" s="170">
        <f t="shared" si="128"/>
        <v>0.90899218071242394</v>
      </c>
      <c r="K275" s="169">
        <v>6283</v>
      </c>
      <c r="L275" s="169">
        <v>5582</v>
      </c>
      <c r="M275" s="170">
        <f t="shared" si="129"/>
        <v>0.34117072111207647</v>
      </c>
      <c r="N275" s="171">
        <f t="shared" si="130"/>
        <v>0.37532855436081242</v>
      </c>
    </row>
    <row r="276" spans="1:25" ht="12.75" customHeight="1" x14ac:dyDescent="0.2">
      <c r="A276" s="687"/>
      <c r="B276" s="689" t="s">
        <v>53</v>
      </c>
      <c r="C276" s="690"/>
      <c r="D276" s="152">
        <v>57669</v>
      </c>
      <c r="E276" s="182">
        <v>44496</v>
      </c>
      <c r="F276" s="154">
        <f t="shared" si="131"/>
        <v>1.2960490830636462</v>
      </c>
      <c r="G276" s="155">
        <v>48643</v>
      </c>
      <c r="H276" s="155">
        <v>39018</v>
      </c>
      <c r="I276" s="156">
        <f t="shared" si="127"/>
        <v>0.84348610171842753</v>
      </c>
      <c r="J276" s="156">
        <f t="shared" si="128"/>
        <v>0.87688781014023731</v>
      </c>
      <c r="K276" s="155">
        <v>23699</v>
      </c>
      <c r="L276" s="155">
        <v>21890</v>
      </c>
      <c r="M276" s="156">
        <f t="shared" si="129"/>
        <v>0.53260967277957572</v>
      </c>
      <c r="N276" s="157">
        <f t="shared" si="130"/>
        <v>0.60738633451227642</v>
      </c>
    </row>
    <row r="277" spans="1:25" ht="12.75" customHeight="1" x14ac:dyDescent="0.2">
      <c r="A277" s="687"/>
      <c r="B277" s="691" t="s">
        <v>49</v>
      </c>
      <c r="C277" s="158" t="s">
        <v>51</v>
      </c>
      <c r="D277" s="159">
        <v>56493</v>
      </c>
      <c r="E277" s="183">
        <v>43855</v>
      </c>
      <c r="F277" s="161">
        <f t="shared" si="131"/>
        <v>1.2881769467563562</v>
      </c>
      <c r="G277" s="162">
        <v>47666</v>
      </c>
      <c r="H277" s="162">
        <v>38445</v>
      </c>
      <c r="I277" s="163">
        <f t="shared" si="127"/>
        <v>0.84375055316587899</v>
      </c>
      <c r="J277" s="163">
        <f t="shared" si="128"/>
        <v>0.8766389237259149</v>
      </c>
      <c r="K277" s="162">
        <v>23273</v>
      </c>
      <c r="L277" s="162">
        <v>21458</v>
      </c>
      <c r="M277" s="163">
        <f t="shared" si="129"/>
        <v>0.53068065214912785</v>
      </c>
      <c r="N277" s="164">
        <f t="shared" si="130"/>
        <v>0.60535830407075042</v>
      </c>
      <c r="P277" s="6" t="s">
        <v>54</v>
      </c>
      <c r="Y277" s="8"/>
    </row>
    <row r="278" spans="1:25" ht="12.75" customHeight="1" thickBot="1" x14ac:dyDescent="0.25">
      <c r="A278" s="688"/>
      <c r="B278" s="693"/>
      <c r="C278" s="185" t="s">
        <v>52</v>
      </c>
      <c r="D278" s="186">
        <v>1176</v>
      </c>
      <c r="E278" s="187">
        <v>1011</v>
      </c>
      <c r="F278" s="188">
        <f t="shared" si="131"/>
        <v>1.1632047477744807</v>
      </c>
      <c r="G278" s="189">
        <v>977</v>
      </c>
      <c r="H278" s="189">
        <v>866</v>
      </c>
      <c r="I278" s="190">
        <f t="shared" si="127"/>
        <v>0.83078231292517002</v>
      </c>
      <c r="J278" s="190">
        <f t="shared" si="128"/>
        <v>0.85657764589515328</v>
      </c>
      <c r="K278" s="189">
        <v>513</v>
      </c>
      <c r="L278" s="189">
        <v>454</v>
      </c>
      <c r="M278" s="190">
        <f t="shared" si="129"/>
        <v>0.50741839762611274</v>
      </c>
      <c r="N278" s="191">
        <f t="shared" si="130"/>
        <v>0.59237875288683606</v>
      </c>
      <c r="Y278" s="8"/>
    </row>
    <row r="279" spans="1:25" ht="12.75" customHeight="1" thickTop="1" thickBot="1" x14ac:dyDescent="0.25">
      <c r="A279" s="701" t="s">
        <v>15</v>
      </c>
      <c r="B279" s="702"/>
      <c r="C279" s="702"/>
      <c r="D279" s="702"/>
      <c r="E279" s="702"/>
      <c r="F279" s="702"/>
      <c r="G279" s="702"/>
      <c r="H279" s="702"/>
      <c r="I279" s="702"/>
      <c r="J279" s="702"/>
      <c r="K279" s="702"/>
      <c r="L279" s="702"/>
      <c r="M279" s="702"/>
      <c r="N279" s="710"/>
      <c r="V279" s="8"/>
      <c r="W279" s="8"/>
      <c r="X279" s="8"/>
      <c r="Y279" s="8"/>
    </row>
    <row r="280" spans="1:25" ht="12.75" customHeight="1" x14ac:dyDescent="0.2">
      <c r="A280" s="180" t="s">
        <v>48</v>
      </c>
      <c r="B280" s="145"/>
      <c r="C280" s="145"/>
      <c r="D280" s="146">
        <v>313230</v>
      </c>
      <c r="E280" s="181">
        <v>138660</v>
      </c>
      <c r="F280" s="148">
        <f>D280/E280</f>
        <v>2.258978797057551</v>
      </c>
      <c r="G280" s="149">
        <v>272661</v>
      </c>
      <c r="H280" s="149">
        <v>128453</v>
      </c>
      <c r="I280" s="150">
        <f t="shared" ref="I280:I286" si="132">G280/D280</f>
        <v>0.87048175462120492</v>
      </c>
      <c r="J280" s="150">
        <f t="shared" ref="J280:J286" si="133">+H280/E280</f>
        <v>0.92638828789845662</v>
      </c>
      <c r="K280" s="149">
        <v>92933</v>
      </c>
      <c r="L280" s="149">
        <v>87711</v>
      </c>
      <c r="M280" s="150">
        <f t="shared" ref="M280:M286" si="134">+K280/E280</f>
        <v>0.67022212606375309</v>
      </c>
      <c r="N280" s="151">
        <f t="shared" ref="N280:N286" si="135">K280/H280</f>
        <v>0.72347862642367244</v>
      </c>
      <c r="V280" s="8"/>
      <c r="W280" s="8"/>
      <c r="X280" s="8"/>
      <c r="Y280" s="8"/>
    </row>
    <row r="281" spans="1:25" ht="12.75" customHeight="1" x14ac:dyDescent="0.2">
      <c r="A281" s="686" t="s">
        <v>49</v>
      </c>
      <c r="B281" s="689" t="s">
        <v>50</v>
      </c>
      <c r="C281" s="690"/>
      <c r="D281" s="152">
        <v>257315</v>
      </c>
      <c r="E281" s="182">
        <v>101334</v>
      </c>
      <c r="F281" s="154">
        <f t="shared" ref="F281:F286" si="136">D281/E281</f>
        <v>2.5392760573943591</v>
      </c>
      <c r="G281" s="155">
        <v>225300</v>
      </c>
      <c r="H281" s="155">
        <v>95233</v>
      </c>
      <c r="I281" s="156">
        <f t="shared" si="132"/>
        <v>0.87558051415580129</v>
      </c>
      <c r="J281" s="156">
        <f t="shared" si="133"/>
        <v>0.9397931592555312</v>
      </c>
      <c r="K281" s="155">
        <v>71515</v>
      </c>
      <c r="L281" s="155">
        <v>67265</v>
      </c>
      <c r="M281" s="156">
        <f t="shared" si="134"/>
        <v>0.70573548858231194</v>
      </c>
      <c r="N281" s="157">
        <f t="shared" si="135"/>
        <v>0.75094767570065002</v>
      </c>
      <c r="V281" s="8"/>
      <c r="W281" s="8"/>
      <c r="X281" s="8"/>
      <c r="Y281" s="8"/>
    </row>
    <row r="282" spans="1:25" ht="12.75" customHeight="1" x14ac:dyDescent="0.2">
      <c r="A282" s="687"/>
      <c r="B282" s="691" t="s">
        <v>49</v>
      </c>
      <c r="C282" s="158" t="s">
        <v>51</v>
      </c>
      <c r="D282" s="159">
        <v>222158</v>
      </c>
      <c r="E282" s="183">
        <v>96086</v>
      </c>
      <c r="F282" s="161">
        <f t="shared" si="136"/>
        <v>2.3120745998376453</v>
      </c>
      <c r="G282" s="162">
        <v>194651</v>
      </c>
      <c r="H282" s="162">
        <v>90392</v>
      </c>
      <c r="I282" s="163">
        <f t="shared" si="132"/>
        <v>0.87618271680515669</v>
      </c>
      <c r="J282" s="163">
        <f t="shared" si="133"/>
        <v>0.94074058655787529</v>
      </c>
      <c r="K282" s="162">
        <v>68534</v>
      </c>
      <c r="L282" s="162">
        <v>62371</v>
      </c>
      <c r="M282" s="163">
        <f t="shared" si="134"/>
        <v>0.71325687405032989</v>
      </c>
      <c r="N282" s="164">
        <f t="shared" si="135"/>
        <v>0.75818656518275951</v>
      </c>
      <c r="V282" s="8"/>
      <c r="W282" s="8"/>
      <c r="X282" s="8"/>
      <c r="Y282" s="8"/>
    </row>
    <row r="283" spans="1:25" ht="12.75" customHeight="1" x14ac:dyDescent="0.2">
      <c r="A283" s="687"/>
      <c r="B283" s="711"/>
      <c r="C283" s="165" t="s">
        <v>52</v>
      </c>
      <c r="D283" s="166">
        <v>35157</v>
      </c>
      <c r="E283" s="184">
        <v>17862</v>
      </c>
      <c r="F283" s="168">
        <f t="shared" si="136"/>
        <v>1.9682566341954988</v>
      </c>
      <c r="G283" s="169">
        <v>30649</v>
      </c>
      <c r="H283" s="169">
        <v>16189</v>
      </c>
      <c r="I283" s="170">
        <f t="shared" si="132"/>
        <v>0.87177517990727305</v>
      </c>
      <c r="J283" s="170">
        <f t="shared" si="133"/>
        <v>0.90633747620647187</v>
      </c>
      <c r="K283" s="169">
        <v>6109</v>
      </c>
      <c r="L283" s="169">
        <v>5461</v>
      </c>
      <c r="M283" s="170">
        <f t="shared" si="134"/>
        <v>0.34201097301533984</v>
      </c>
      <c r="N283" s="171">
        <f t="shared" si="135"/>
        <v>0.37735499413181789</v>
      </c>
      <c r="V283" s="8"/>
      <c r="W283" s="8"/>
      <c r="X283" s="8"/>
      <c r="Y283" s="8"/>
    </row>
    <row r="284" spans="1:25" ht="12.75" customHeight="1" x14ac:dyDescent="0.2">
      <c r="A284" s="687"/>
      <c r="B284" s="689" t="s">
        <v>53</v>
      </c>
      <c r="C284" s="690"/>
      <c r="D284" s="152">
        <v>55915</v>
      </c>
      <c r="E284" s="182">
        <v>44289</v>
      </c>
      <c r="F284" s="154">
        <f t="shared" si="136"/>
        <v>1.2625031046083677</v>
      </c>
      <c r="G284" s="155">
        <v>47361</v>
      </c>
      <c r="H284" s="155">
        <v>38818</v>
      </c>
      <c r="I284" s="156">
        <f t="shared" si="132"/>
        <v>0.84701779486720918</v>
      </c>
      <c r="J284" s="156">
        <f t="shared" si="133"/>
        <v>0.87647045541782387</v>
      </c>
      <c r="K284" s="155">
        <v>23293</v>
      </c>
      <c r="L284" s="155">
        <v>21135</v>
      </c>
      <c r="M284" s="156">
        <f t="shared" si="134"/>
        <v>0.52593194698457857</v>
      </c>
      <c r="N284" s="157">
        <f t="shared" si="135"/>
        <v>0.60005667473852331</v>
      </c>
      <c r="V284" s="8"/>
      <c r="W284" s="8"/>
      <c r="X284" s="8"/>
      <c r="Y284" s="8"/>
    </row>
    <row r="285" spans="1:25" ht="12.75" customHeight="1" x14ac:dyDescent="0.2">
      <c r="A285" s="687"/>
      <c r="B285" s="691" t="s">
        <v>49</v>
      </c>
      <c r="C285" s="158" t="s">
        <v>51</v>
      </c>
      <c r="D285" s="159">
        <v>54345</v>
      </c>
      <c r="E285" s="183">
        <v>43404</v>
      </c>
      <c r="F285" s="161">
        <f t="shared" si="136"/>
        <v>1.2520735416090683</v>
      </c>
      <c r="G285" s="162">
        <v>46180</v>
      </c>
      <c r="H285" s="162">
        <v>38086</v>
      </c>
      <c r="I285" s="163">
        <f t="shared" si="132"/>
        <v>0.84975618732174074</v>
      </c>
      <c r="J285" s="163">
        <f t="shared" si="133"/>
        <v>0.87747673025527606</v>
      </c>
      <c r="K285" s="162">
        <v>22806</v>
      </c>
      <c r="L285" s="162">
        <v>20676</v>
      </c>
      <c r="M285" s="163">
        <f t="shared" si="134"/>
        <v>0.5254354437379043</v>
      </c>
      <c r="N285" s="164">
        <f t="shared" si="135"/>
        <v>0.59880270965709181</v>
      </c>
      <c r="V285" s="8"/>
      <c r="W285" s="8"/>
      <c r="X285" s="8"/>
      <c r="Y285" s="8"/>
    </row>
    <row r="286" spans="1:25" ht="12.75" customHeight="1" thickBot="1" x14ac:dyDescent="0.25">
      <c r="A286" s="688"/>
      <c r="B286" s="693"/>
      <c r="C286" s="185" t="s">
        <v>52</v>
      </c>
      <c r="D286" s="186">
        <v>1570</v>
      </c>
      <c r="E286" s="187">
        <v>1437</v>
      </c>
      <c r="F286" s="188">
        <f t="shared" si="136"/>
        <v>1.092553931802366</v>
      </c>
      <c r="G286" s="189">
        <v>1181</v>
      </c>
      <c r="H286" s="189">
        <v>1095</v>
      </c>
      <c r="I286" s="190">
        <f t="shared" si="132"/>
        <v>0.75222929936305738</v>
      </c>
      <c r="J286" s="190">
        <f t="shared" si="133"/>
        <v>0.76200417536534448</v>
      </c>
      <c r="K286" s="189">
        <v>562</v>
      </c>
      <c r="L286" s="189">
        <v>484</v>
      </c>
      <c r="M286" s="190">
        <f t="shared" si="134"/>
        <v>0.39109255393180237</v>
      </c>
      <c r="N286" s="191">
        <f t="shared" si="135"/>
        <v>0.51324200913242013</v>
      </c>
      <c r="V286" s="8"/>
      <c r="W286" s="8"/>
      <c r="X286" s="8"/>
      <c r="Y286" s="8"/>
    </row>
    <row r="287" spans="1:25" ht="12.75" customHeight="1" thickTop="1" thickBot="1" x14ac:dyDescent="0.25">
      <c r="A287" s="701" t="s">
        <v>16</v>
      </c>
      <c r="B287" s="702"/>
      <c r="C287" s="702"/>
      <c r="D287" s="702"/>
      <c r="E287" s="702"/>
      <c r="F287" s="702"/>
      <c r="G287" s="702"/>
      <c r="H287" s="702"/>
      <c r="I287" s="702"/>
      <c r="J287" s="702"/>
      <c r="K287" s="702"/>
      <c r="L287" s="702"/>
      <c r="M287" s="702"/>
      <c r="N287" s="710"/>
      <c r="V287" s="8"/>
      <c r="W287" s="8"/>
      <c r="X287" s="8"/>
      <c r="Y287" s="8"/>
    </row>
    <row r="288" spans="1:25" ht="12.75" customHeight="1" x14ac:dyDescent="0.2">
      <c r="A288" s="180" t="s">
        <v>48</v>
      </c>
      <c r="B288" s="145"/>
      <c r="C288" s="145"/>
      <c r="D288" s="146">
        <v>314176</v>
      </c>
      <c r="E288" s="181">
        <v>139307</v>
      </c>
      <c r="F288" s="148">
        <f>D288/E288</f>
        <v>2.255277911375595</v>
      </c>
      <c r="G288" s="149">
        <v>274901</v>
      </c>
      <c r="H288" s="149">
        <v>129451</v>
      </c>
      <c r="I288" s="150">
        <f t="shared" ref="I288:I294" si="137">G288/D288</f>
        <v>0.87499045121205943</v>
      </c>
      <c r="J288" s="150">
        <f t="shared" ref="J288:J294" si="138">+H288/E288</f>
        <v>0.92924978644289236</v>
      </c>
      <c r="K288" s="149">
        <v>92293</v>
      </c>
      <c r="L288" s="149">
        <v>86851</v>
      </c>
      <c r="M288" s="150">
        <f t="shared" ref="M288:M294" si="139">+K288/E288</f>
        <v>0.66251516434924307</v>
      </c>
      <c r="N288" s="151">
        <f t="shared" ref="N288:N294" si="140">K288/H288</f>
        <v>0.71295702621068979</v>
      </c>
      <c r="V288" s="8"/>
      <c r="W288" s="8"/>
      <c r="X288" s="8"/>
      <c r="Y288" s="8"/>
    </row>
    <row r="289" spans="1:25" ht="12.75" customHeight="1" x14ac:dyDescent="0.2">
      <c r="A289" s="686" t="s">
        <v>49</v>
      </c>
      <c r="B289" s="689" t="s">
        <v>50</v>
      </c>
      <c r="C289" s="690"/>
      <c r="D289" s="152">
        <v>255012</v>
      </c>
      <c r="E289" s="182">
        <v>100119</v>
      </c>
      <c r="F289" s="154">
        <f t="shared" ref="F289:F294" si="141">D289/E289</f>
        <v>2.5470889641326822</v>
      </c>
      <c r="G289" s="155">
        <v>224058</v>
      </c>
      <c r="H289" s="155">
        <v>94208</v>
      </c>
      <c r="I289" s="156">
        <f t="shared" si="137"/>
        <v>0.87861747682461999</v>
      </c>
      <c r="J289" s="156">
        <f t="shared" si="138"/>
        <v>0.94096025729382038</v>
      </c>
      <c r="K289" s="155">
        <v>70650</v>
      </c>
      <c r="L289" s="155">
        <v>66093</v>
      </c>
      <c r="M289" s="156">
        <f t="shared" si="139"/>
        <v>0.70566026428550022</v>
      </c>
      <c r="N289" s="157">
        <f t="shared" si="140"/>
        <v>0.74993631114130432</v>
      </c>
      <c r="V289" s="8"/>
      <c r="W289" s="8"/>
      <c r="X289" s="8"/>
      <c r="Y289" s="8"/>
    </row>
    <row r="290" spans="1:25" ht="12.75" customHeight="1" x14ac:dyDescent="0.2">
      <c r="A290" s="687"/>
      <c r="B290" s="691" t="s">
        <v>49</v>
      </c>
      <c r="C290" s="158" t="s">
        <v>51</v>
      </c>
      <c r="D290" s="159">
        <v>220215</v>
      </c>
      <c r="E290" s="183">
        <v>94976</v>
      </c>
      <c r="F290" s="161">
        <f t="shared" si="141"/>
        <v>2.3186383928571428</v>
      </c>
      <c r="G290" s="162">
        <v>193926</v>
      </c>
      <c r="H290" s="162">
        <v>89471</v>
      </c>
      <c r="I290" s="163">
        <f t="shared" si="137"/>
        <v>0.88062121108916291</v>
      </c>
      <c r="J290" s="163">
        <f t="shared" si="138"/>
        <v>0.9420379885444744</v>
      </c>
      <c r="K290" s="162">
        <v>67251</v>
      </c>
      <c r="L290" s="162">
        <v>61214</v>
      </c>
      <c r="M290" s="163">
        <f t="shared" si="139"/>
        <v>0.70808414757412397</v>
      </c>
      <c r="N290" s="164">
        <f t="shared" si="140"/>
        <v>0.75165137307060392</v>
      </c>
      <c r="V290" s="8"/>
      <c r="W290" s="8"/>
      <c r="X290" s="8"/>
      <c r="Y290" s="8"/>
    </row>
    <row r="291" spans="1:25" ht="12.75" customHeight="1" x14ac:dyDescent="0.2">
      <c r="A291" s="687"/>
      <c r="B291" s="711"/>
      <c r="C291" s="165" t="s">
        <v>52</v>
      </c>
      <c r="D291" s="166">
        <v>34797</v>
      </c>
      <c r="E291" s="184">
        <v>17592</v>
      </c>
      <c r="F291" s="168">
        <f t="shared" si="141"/>
        <v>1.9780013642564802</v>
      </c>
      <c r="G291" s="169">
        <v>30132</v>
      </c>
      <c r="H291" s="169">
        <v>15728</v>
      </c>
      <c r="I291" s="170">
        <f t="shared" si="137"/>
        <v>0.8659367186826451</v>
      </c>
      <c r="J291" s="170">
        <f t="shared" si="138"/>
        <v>0.89404274670304684</v>
      </c>
      <c r="K291" s="169">
        <v>6037</v>
      </c>
      <c r="L291" s="169">
        <v>5478</v>
      </c>
      <c r="M291" s="170">
        <f t="shared" si="139"/>
        <v>0.34316734879490679</v>
      </c>
      <c r="N291" s="171">
        <f t="shared" si="140"/>
        <v>0.38383774160732453</v>
      </c>
      <c r="V291" s="8"/>
      <c r="W291" s="8"/>
      <c r="X291" s="8"/>
      <c r="Y291" s="8"/>
    </row>
    <row r="292" spans="1:25" ht="12.75" customHeight="1" x14ac:dyDescent="0.2">
      <c r="A292" s="687"/>
      <c r="B292" s="689" t="s">
        <v>53</v>
      </c>
      <c r="C292" s="690"/>
      <c r="D292" s="152">
        <v>59164</v>
      </c>
      <c r="E292" s="182">
        <v>46304</v>
      </c>
      <c r="F292" s="154">
        <f t="shared" si="141"/>
        <v>1.2777297857636489</v>
      </c>
      <c r="G292" s="155">
        <v>50843</v>
      </c>
      <c r="H292" s="155">
        <v>41150</v>
      </c>
      <c r="I292" s="156">
        <f t="shared" si="137"/>
        <v>0.85935704144412139</v>
      </c>
      <c r="J292" s="156">
        <f t="shared" si="138"/>
        <v>0.88869212163096056</v>
      </c>
      <c r="K292" s="155">
        <v>23530</v>
      </c>
      <c r="L292" s="155">
        <v>21490</v>
      </c>
      <c r="M292" s="156">
        <f t="shared" si="139"/>
        <v>0.50816344160331717</v>
      </c>
      <c r="N292" s="157">
        <f t="shared" si="140"/>
        <v>0.5718104495747266</v>
      </c>
      <c r="V292" s="8"/>
      <c r="W292" s="8"/>
      <c r="X292" s="8"/>
      <c r="Y292" s="8"/>
    </row>
    <row r="293" spans="1:25" ht="12.75" customHeight="1" x14ac:dyDescent="0.2">
      <c r="A293" s="687"/>
      <c r="B293" s="691" t="s">
        <v>49</v>
      </c>
      <c r="C293" s="158" t="s">
        <v>51</v>
      </c>
      <c r="D293" s="159">
        <v>57924</v>
      </c>
      <c r="E293" s="183">
        <v>45650</v>
      </c>
      <c r="F293" s="161">
        <f t="shared" si="141"/>
        <v>1.2688718510405257</v>
      </c>
      <c r="G293" s="162">
        <v>49774</v>
      </c>
      <c r="H293" s="162">
        <v>40554</v>
      </c>
      <c r="I293" s="163">
        <f t="shared" si="137"/>
        <v>0.85929839099509697</v>
      </c>
      <c r="J293" s="163">
        <f t="shared" si="138"/>
        <v>0.888368017524644</v>
      </c>
      <c r="K293" s="162">
        <v>23068</v>
      </c>
      <c r="L293" s="162">
        <v>21053</v>
      </c>
      <c r="M293" s="163">
        <f t="shared" si="139"/>
        <v>0.50532311062431545</v>
      </c>
      <c r="N293" s="164">
        <f t="shared" si="140"/>
        <v>0.56882181782314933</v>
      </c>
      <c r="V293" s="8"/>
      <c r="W293" s="8"/>
      <c r="X293" s="8"/>
      <c r="Y293" s="8"/>
    </row>
    <row r="294" spans="1:25" ht="12.75" customHeight="1" thickBot="1" x14ac:dyDescent="0.25">
      <c r="A294" s="688"/>
      <c r="B294" s="693"/>
      <c r="C294" s="185" t="s">
        <v>52</v>
      </c>
      <c r="D294" s="186">
        <v>1240</v>
      </c>
      <c r="E294" s="187">
        <v>1067</v>
      </c>
      <c r="F294" s="188">
        <f t="shared" si="141"/>
        <v>1.162136832239925</v>
      </c>
      <c r="G294" s="189">
        <v>1069</v>
      </c>
      <c r="H294" s="189">
        <v>950</v>
      </c>
      <c r="I294" s="190">
        <f t="shared" si="137"/>
        <v>0.86209677419354835</v>
      </c>
      <c r="J294" s="190">
        <f t="shared" si="138"/>
        <v>0.89034676663542645</v>
      </c>
      <c r="K294" s="189">
        <v>546</v>
      </c>
      <c r="L294" s="189">
        <v>455</v>
      </c>
      <c r="M294" s="190">
        <f t="shared" si="139"/>
        <v>0.51171508903467666</v>
      </c>
      <c r="N294" s="191">
        <f t="shared" si="140"/>
        <v>0.57473684210526321</v>
      </c>
      <c r="V294" s="8"/>
      <c r="W294" s="8"/>
      <c r="X294" s="8"/>
      <c r="Y294" s="8"/>
    </row>
    <row r="295" spans="1:25" ht="12.75" customHeight="1" thickTop="1" thickBot="1" x14ac:dyDescent="0.25">
      <c r="A295" s="701" t="s">
        <v>17</v>
      </c>
      <c r="B295" s="702"/>
      <c r="C295" s="702"/>
      <c r="D295" s="702"/>
      <c r="E295" s="702"/>
      <c r="F295" s="702"/>
      <c r="G295" s="702"/>
      <c r="H295" s="702"/>
      <c r="I295" s="702"/>
      <c r="J295" s="702"/>
      <c r="K295" s="702"/>
      <c r="L295" s="702"/>
      <c r="M295" s="702"/>
      <c r="N295" s="710"/>
      <c r="V295" s="8"/>
      <c r="W295" s="8"/>
      <c r="X295" s="8"/>
      <c r="Y295" s="8"/>
    </row>
    <row r="296" spans="1:25" ht="12.75" customHeight="1" x14ac:dyDescent="0.2">
      <c r="A296" s="180" t="s">
        <v>48</v>
      </c>
      <c r="B296" s="145"/>
      <c r="C296" s="145"/>
      <c r="D296" s="146">
        <v>295170</v>
      </c>
      <c r="E296" s="181">
        <v>131825</v>
      </c>
      <c r="F296" s="148">
        <f>D296/E296</f>
        <v>2.2391048738858337</v>
      </c>
      <c r="G296" s="149">
        <v>256940</v>
      </c>
      <c r="H296" s="149">
        <v>122092</v>
      </c>
      <c r="I296" s="150">
        <f t="shared" ref="I296:I302" si="142">G296/D296</f>
        <v>0.87048141748822716</v>
      </c>
      <c r="J296" s="150">
        <f>+H296/E296</f>
        <v>0.92616726721031672</v>
      </c>
      <c r="K296" s="149">
        <v>88014</v>
      </c>
      <c r="L296" s="149">
        <v>82509</v>
      </c>
      <c r="M296" s="150">
        <f t="shared" ref="M296:M302" si="143">+K296/E296</f>
        <v>0.6676578797648397</v>
      </c>
      <c r="N296" s="151">
        <f>K296/H296</f>
        <v>0.72088261311142421</v>
      </c>
      <c r="V296" s="8"/>
      <c r="W296" s="8"/>
      <c r="X296" s="8"/>
      <c r="Y296" s="8"/>
    </row>
    <row r="297" spans="1:25" ht="12.75" customHeight="1" x14ac:dyDescent="0.2">
      <c r="A297" s="686" t="s">
        <v>49</v>
      </c>
      <c r="B297" s="689" t="s">
        <v>50</v>
      </c>
      <c r="C297" s="690"/>
      <c r="D297" s="152">
        <v>243632</v>
      </c>
      <c r="E297" s="182">
        <v>97725</v>
      </c>
      <c r="F297" s="154">
        <f t="shared" ref="F297:F302" si="144">D297/E297</f>
        <v>2.4930365822460989</v>
      </c>
      <c r="G297" s="155">
        <v>212938</v>
      </c>
      <c r="H297" s="155">
        <v>91545</v>
      </c>
      <c r="I297" s="156">
        <f t="shared" si="142"/>
        <v>0.8740149077296907</v>
      </c>
      <c r="J297" s="156">
        <f t="shared" ref="J297:J302" si="145">+H297/E297</f>
        <v>0.93676132003069834</v>
      </c>
      <c r="K297" s="155">
        <v>68380</v>
      </c>
      <c r="L297" s="155">
        <v>63827</v>
      </c>
      <c r="M297" s="156">
        <f t="shared" si="143"/>
        <v>0.69971859810693271</v>
      </c>
      <c r="N297" s="157">
        <f t="shared" ref="N297:N302" si="146">K297/H297</f>
        <v>0.7469550494292424</v>
      </c>
      <c r="V297" s="8"/>
      <c r="W297" s="8"/>
      <c r="X297" s="8"/>
      <c r="Y297" s="8"/>
    </row>
    <row r="298" spans="1:25" ht="12.75" customHeight="1" x14ac:dyDescent="0.2">
      <c r="A298" s="687"/>
      <c r="B298" s="691" t="s">
        <v>49</v>
      </c>
      <c r="C298" s="158" t="s">
        <v>51</v>
      </c>
      <c r="D298" s="159">
        <v>211273</v>
      </c>
      <c r="E298" s="183">
        <v>92748</v>
      </c>
      <c r="F298" s="161">
        <f t="shared" si="144"/>
        <v>2.2779251304610342</v>
      </c>
      <c r="G298" s="162">
        <v>185097</v>
      </c>
      <c r="H298" s="162">
        <v>86918</v>
      </c>
      <c r="I298" s="163">
        <f t="shared" si="142"/>
        <v>0.87610343015908332</v>
      </c>
      <c r="J298" s="163">
        <f t="shared" si="145"/>
        <v>0.93714150170354082</v>
      </c>
      <c r="K298" s="162">
        <v>65684</v>
      </c>
      <c r="L298" s="162">
        <v>59688</v>
      </c>
      <c r="M298" s="163">
        <f t="shared" si="143"/>
        <v>0.70819855953767197</v>
      </c>
      <c r="N298" s="164">
        <f t="shared" si="146"/>
        <v>0.75570077544352143</v>
      </c>
      <c r="V298" s="8"/>
      <c r="W298" s="8"/>
      <c r="X298" s="8"/>
      <c r="Y298" s="8"/>
    </row>
    <row r="299" spans="1:25" ht="12.75" customHeight="1" x14ac:dyDescent="0.2">
      <c r="A299" s="687"/>
      <c r="B299" s="711"/>
      <c r="C299" s="165" t="s">
        <v>52</v>
      </c>
      <c r="D299" s="166">
        <v>32359</v>
      </c>
      <c r="E299" s="184">
        <v>16549</v>
      </c>
      <c r="F299" s="168">
        <f t="shared" si="144"/>
        <v>1.9553447338207746</v>
      </c>
      <c r="G299" s="169">
        <v>27841</v>
      </c>
      <c r="H299" s="169">
        <v>14888</v>
      </c>
      <c r="I299" s="170">
        <f t="shared" si="142"/>
        <v>0.86037887450168427</v>
      </c>
      <c r="J299" s="170">
        <f t="shared" si="145"/>
        <v>0.89963139766753275</v>
      </c>
      <c r="K299" s="169">
        <v>4993</v>
      </c>
      <c r="L299" s="169">
        <v>4532</v>
      </c>
      <c r="M299" s="170">
        <f t="shared" si="143"/>
        <v>0.30171007311620035</v>
      </c>
      <c r="N299" s="171">
        <f t="shared" si="146"/>
        <v>0.33537076840408381</v>
      </c>
      <c r="V299" s="8"/>
      <c r="W299" s="8"/>
      <c r="X299" s="8"/>
      <c r="Y299" s="8"/>
    </row>
    <row r="300" spans="1:25" ht="12.75" customHeight="1" x14ac:dyDescent="0.2">
      <c r="A300" s="687"/>
      <c r="B300" s="689" t="s">
        <v>53</v>
      </c>
      <c r="C300" s="690"/>
      <c r="D300" s="152">
        <v>51538</v>
      </c>
      <c r="E300" s="182">
        <v>40455</v>
      </c>
      <c r="F300" s="154">
        <f t="shared" si="144"/>
        <v>1.2739587195649487</v>
      </c>
      <c r="G300" s="155">
        <v>44002</v>
      </c>
      <c r="H300" s="155">
        <v>35706</v>
      </c>
      <c r="I300" s="156">
        <f t="shared" si="142"/>
        <v>0.85377779502503004</v>
      </c>
      <c r="J300" s="156">
        <f t="shared" si="145"/>
        <v>0.88261030774935112</v>
      </c>
      <c r="K300" s="155">
        <v>21208</v>
      </c>
      <c r="L300" s="155">
        <v>19157</v>
      </c>
      <c r="M300" s="156">
        <f t="shared" si="143"/>
        <v>0.52423680632801883</v>
      </c>
      <c r="N300" s="157">
        <f t="shared" si="146"/>
        <v>0.59396179913739988</v>
      </c>
      <c r="V300" s="8"/>
      <c r="W300" s="8"/>
      <c r="X300" s="8"/>
      <c r="Y300" s="8"/>
    </row>
    <row r="301" spans="1:25" ht="12.75" customHeight="1" x14ac:dyDescent="0.2">
      <c r="A301" s="687"/>
      <c r="B301" s="691" t="s">
        <v>49</v>
      </c>
      <c r="C301" s="158" t="s">
        <v>51</v>
      </c>
      <c r="D301" s="159">
        <v>49723</v>
      </c>
      <c r="E301" s="183">
        <v>39525</v>
      </c>
      <c r="F301" s="161">
        <f t="shared" si="144"/>
        <v>1.2580139152435168</v>
      </c>
      <c r="G301" s="162">
        <v>42625</v>
      </c>
      <c r="H301" s="162">
        <v>34914</v>
      </c>
      <c r="I301" s="163">
        <f t="shared" si="142"/>
        <v>0.85724916034832976</v>
      </c>
      <c r="J301" s="163">
        <f t="shared" si="145"/>
        <v>0.88333965844402274</v>
      </c>
      <c r="K301" s="162">
        <v>20467</v>
      </c>
      <c r="L301" s="162">
        <v>18484</v>
      </c>
      <c r="M301" s="163">
        <f t="shared" si="143"/>
        <v>0.51782416192283365</v>
      </c>
      <c r="N301" s="164">
        <f t="shared" si="146"/>
        <v>0.58621183479406547</v>
      </c>
      <c r="V301" s="8"/>
      <c r="W301" s="8"/>
      <c r="X301" s="8"/>
      <c r="Y301" s="8"/>
    </row>
    <row r="302" spans="1:25" ht="12.75" customHeight="1" thickBot="1" x14ac:dyDescent="0.25">
      <c r="A302" s="688"/>
      <c r="B302" s="693"/>
      <c r="C302" s="185" t="s">
        <v>52</v>
      </c>
      <c r="D302" s="186">
        <v>1815</v>
      </c>
      <c r="E302" s="187">
        <v>1677</v>
      </c>
      <c r="F302" s="188">
        <f t="shared" si="144"/>
        <v>1.0822898032200359</v>
      </c>
      <c r="G302" s="189">
        <v>1377</v>
      </c>
      <c r="H302" s="189">
        <v>1274</v>
      </c>
      <c r="I302" s="190">
        <f t="shared" si="142"/>
        <v>0.75867768595041318</v>
      </c>
      <c r="J302" s="190">
        <f t="shared" si="145"/>
        <v>0.75968992248062017</v>
      </c>
      <c r="K302" s="189">
        <v>810</v>
      </c>
      <c r="L302" s="189">
        <v>691</v>
      </c>
      <c r="M302" s="190">
        <f t="shared" si="143"/>
        <v>0.48300536672629696</v>
      </c>
      <c r="N302" s="191">
        <f t="shared" si="146"/>
        <v>0.63579277864992145</v>
      </c>
      <c r="V302" s="8"/>
      <c r="W302" s="8"/>
      <c r="X302" s="8"/>
      <c r="Y302" s="8"/>
    </row>
    <row r="303" spans="1:25" ht="12.75" customHeight="1" thickTop="1" thickBot="1" x14ac:dyDescent="0.25">
      <c r="A303" s="701" t="s">
        <v>35</v>
      </c>
      <c r="B303" s="702"/>
      <c r="C303" s="702"/>
      <c r="D303" s="702"/>
      <c r="E303" s="702"/>
      <c r="F303" s="702"/>
      <c r="G303" s="702"/>
      <c r="H303" s="702"/>
      <c r="I303" s="702"/>
      <c r="J303" s="702"/>
      <c r="K303" s="702"/>
      <c r="L303" s="702"/>
      <c r="M303" s="702"/>
      <c r="N303" s="710"/>
      <c r="V303" s="8"/>
      <c r="W303" s="8"/>
      <c r="X303" s="8"/>
      <c r="Y303" s="8"/>
    </row>
    <row r="304" spans="1:25" ht="12.75" customHeight="1" x14ac:dyDescent="0.2">
      <c r="A304" s="180" t="s">
        <v>48</v>
      </c>
      <c r="B304" s="145"/>
      <c r="C304" s="145"/>
      <c r="D304" s="146">
        <v>277561</v>
      </c>
      <c r="E304" s="181">
        <v>125798</v>
      </c>
      <c r="F304" s="148">
        <f>D304/E304</f>
        <v>2.2064023275409785</v>
      </c>
      <c r="G304" s="149">
        <v>239564</v>
      </c>
      <c r="H304" s="149">
        <v>108747</v>
      </c>
      <c r="I304" s="150">
        <f t="shared" ref="I304:I310" si="147">G304/D304</f>
        <v>0.86310396633532804</v>
      </c>
      <c r="J304" s="150">
        <f>+H304/E304</f>
        <v>0.86445730456764014</v>
      </c>
      <c r="K304" s="149">
        <v>84467</v>
      </c>
      <c r="L304" s="149">
        <v>79253</v>
      </c>
      <c r="M304" s="150">
        <f t="shared" ref="M304:M310" si="148">+K304/E304</f>
        <v>0.67144946660519245</v>
      </c>
      <c r="N304" s="151">
        <f>K304/H304</f>
        <v>0.77672947299695627</v>
      </c>
      <c r="V304" s="8"/>
      <c r="W304" s="8"/>
      <c r="X304" s="8"/>
      <c r="Y304" s="8"/>
    </row>
    <row r="305" spans="1:25" ht="12.75" customHeight="1" x14ac:dyDescent="0.2">
      <c r="A305" s="686" t="s">
        <v>49</v>
      </c>
      <c r="B305" s="689" t="s">
        <v>50</v>
      </c>
      <c r="C305" s="690"/>
      <c r="D305" s="152">
        <v>230405</v>
      </c>
      <c r="E305" s="182">
        <v>94356</v>
      </c>
      <c r="F305" s="154">
        <f t="shared" ref="F305:F310" si="149">D305/E305</f>
        <v>2.4418690915257111</v>
      </c>
      <c r="G305" s="155">
        <v>199977</v>
      </c>
      <c r="H305" s="155">
        <v>82182</v>
      </c>
      <c r="I305" s="156">
        <f t="shared" si="147"/>
        <v>0.86793689373060479</v>
      </c>
      <c r="J305" s="156">
        <f t="shared" ref="J305:J310" si="150">+H305/E305</f>
        <v>0.87097799821950905</v>
      </c>
      <c r="K305" s="155">
        <v>66323</v>
      </c>
      <c r="L305" s="155">
        <v>62006</v>
      </c>
      <c r="M305" s="156">
        <f t="shared" si="148"/>
        <v>0.70290177625164274</v>
      </c>
      <c r="N305" s="157">
        <f t="shared" ref="N305:N310" si="151">K305/H305</f>
        <v>0.80702586941179333</v>
      </c>
      <c r="V305" s="8"/>
      <c r="W305" s="8"/>
      <c r="X305" s="8"/>
      <c r="Y305" s="8"/>
    </row>
    <row r="306" spans="1:25" ht="12.75" customHeight="1" x14ac:dyDescent="0.2">
      <c r="A306" s="687"/>
      <c r="B306" s="691" t="s">
        <v>49</v>
      </c>
      <c r="C306" s="158" t="s">
        <v>51</v>
      </c>
      <c r="D306" s="159">
        <v>198817</v>
      </c>
      <c r="E306" s="183">
        <v>89171</v>
      </c>
      <c r="F306" s="161">
        <f t="shared" si="149"/>
        <v>2.2296150093640308</v>
      </c>
      <c r="G306" s="162">
        <v>172754</v>
      </c>
      <c r="H306" s="162">
        <v>77846</v>
      </c>
      <c r="I306" s="163">
        <f t="shared" si="147"/>
        <v>0.86890960028568986</v>
      </c>
      <c r="J306" s="163">
        <f t="shared" si="150"/>
        <v>0.87299682632245912</v>
      </c>
      <c r="K306" s="162">
        <v>63314</v>
      </c>
      <c r="L306" s="162">
        <v>57618</v>
      </c>
      <c r="M306" s="163">
        <f t="shared" si="148"/>
        <v>0.71002904531742383</v>
      </c>
      <c r="N306" s="164">
        <f t="shared" si="151"/>
        <v>0.81332374174652522</v>
      </c>
      <c r="V306" s="8"/>
      <c r="W306" s="8"/>
      <c r="X306" s="8"/>
      <c r="Y306" s="8"/>
    </row>
    <row r="307" spans="1:25" ht="12.75" customHeight="1" x14ac:dyDescent="0.2">
      <c r="A307" s="687"/>
      <c r="B307" s="711"/>
      <c r="C307" s="165" t="s">
        <v>52</v>
      </c>
      <c r="D307" s="166">
        <v>31588</v>
      </c>
      <c r="E307" s="184">
        <v>16390</v>
      </c>
      <c r="F307" s="168">
        <f t="shared" si="149"/>
        <v>1.9272727272727272</v>
      </c>
      <c r="G307" s="169">
        <v>27223</v>
      </c>
      <c r="H307" s="169">
        <v>14077</v>
      </c>
      <c r="I307" s="170">
        <f t="shared" si="147"/>
        <v>0.86181461314423202</v>
      </c>
      <c r="J307" s="170">
        <f t="shared" si="150"/>
        <v>0.85887736424649175</v>
      </c>
      <c r="K307" s="169">
        <v>5186</v>
      </c>
      <c r="L307" s="169">
        <v>4763</v>
      </c>
      <c r="M307" s="170">
        <f t="shared" si="148"/>
        <v>0.31641244661378892</v>
      </c>
      <c r="N307" s="171">
        <f t="shared" si="151"/>
        <v>0.3684023584570576</v>
      </c>
      <c r="V307" s="8"/>
      <c r="W307" s="8"/>
      <c r="X307" s="8"/>
      <c r="Y307" s="8"/>
    </row>
    <row r="308" spans="1:25" ht="12.75" customHeight="1" x14ac:dyDescent="0.2">
      <c r="A308" s="687"/>
      <c r="B308" s="689" t="s">
        <v>53</v>
      </c>
      <c r="C308" s="690"/>
      <c r="D308" s="152">
        <v>47156</v>
      </c>
      <c r="E308" s="182">
        <v>37540</v>
      </c>
      <c r="F308" s="154">
        <f t="shared" si="149"/>
        <v>1.2561534363345765</v>
      </c>
      <c r="G308" s="155">
        <v>39587</v>
      </c>
      <c r="H308" s="155">
        <v>31678</v>
      </c>
      <c r="I308" s="156">
        <f t="shared" si="147"/>
        <v>0.83949020273135977</v>
      </c>
      <c r="J308" s="156">
        <f t="shared" si="150"/>
        <v>0.84384656366542354</v>
      </c>
      <c r="K308" s="155">
        <v>19770</v>
      </c>
      <c r="L308" s="155">
        <v>17719</v>
      </c>
      <c r="M308" s="156">
        <f t="shared" si="148"/>
        <v>0.52663825253063401</v>
      </c>
      <c r="N308" s="157">
        <f t="shared" si="151"/>
        <v>0.62409243007765647</v>
      </c>
      <c r="V308" s="8"/>
      <c r="W308" s="8"/>
      <c r="X308" s="8"/>
      <c r="Y308" s="8"/>
    </row>
    <row r="309" spans="1:25" ht="12.75" customHeight="1" x14ac:dyDescent="0.2">
      <c r="A309" s="687"/>
      <c r="B309" s="691" t="s">
        <v>49</v>
      </c>
      <c r="C309" s="158" t="s">
        <v>51</v>
      </c>
      <c r="D309" s="159">
        <v>46139</v>
      </c>
      <c r="E309" s="183">
        <v>36980</v>
      </c>
      <c r="F309" s="161">
        <f t="shared" si="149"/>
        <v>1.2476744186046511</v>
      </c>
      <c r="G309" s="162">
        <v>38720</v>
      </c>
      <c r="H309" s="162">
        <v>31210</v>
      </c>
      <c r="I309" s="163">
        <f t="shared" si="147"/>
        <v>0.83920327705411912</v>
      </c>
      <c r="J309" s="163">
        <f t="shared" si="150"/>
        <v>0.84396971335857218</v>
      </c>
      <c r="K309" s="162">
        <v>19394</v>
      </c>
      <c r="L309" s="162">
        <v>17357</v>
      </c>
      <c r="M309" s="163">
        <f t="shared" si="148"/>
        <v>0.52444564629529478</v>
      </c>
      <c r="N309" s="164">
        <f t="shared" si="151"/>
        <v>0.62140339634732455</v>
      </c>
      <c r="V309" s="8"/>
      <c r="W309" s="8"/>
      <c r="X309" s="8"/>
      <c r="Y309" s="8"/>
    </row>
    <row r="310" spans="1:25" ht="12.75" customHeight="1" thickBot="1" x14ac:dyDescent="0.25">
      <c r="A310" s="688"/>
      <c r="B310" s="693"/>
      <c r="C310" s="185" t="s">
        <v>52</v>
      </c>
      <c r="D310" s="186">
        <v>1017</v>
      </c>
      <c r="E310" s="187">
        <v>872</v>
      </c>
      <c r="F310" s="188">
        <f t="shared" si="149"/>
        <v>1.1662844036697249</v>
      </c>
      <c r="G310" s="189">
        <v>867</v>
      </c>
      <c r="H310" s="189">
        <v>737</v>
      </c>
      <c r="I310" s="190">
        <f t="shared" si="147"/>
        <v>0.85250737463126847</v>
      </c>
      <c r="J310" s="190">
        <f t="shared" si="150"/>
        <v>0.84518348623853212</v>
      </c>
      <c r="K310" s="189">
        <v>426</v>
      </c>
      <c r="L310" s="189">
        <v>373</v>
      </c>
      <c r="M310" s="190">
        <f t="shared" si="148"/>
        <v>0.48853211009174313</v>
      </c>
      <c r="N310" s="191">
        <f t="shared" si="151"/>
        <v>0.57801899592944372</v>
      </c>
      <c r="V310" s="8"/>
      <c r="W310" s="8"/>
      <c r="X310" s="8"/>
      <c r="Y310" s="8"/>
    </row>
    <row r="311" spans="1:25" ht="12.75" customHeight="1" thickTop="1" thickBot="1" x14ac:dyDescent="0.25">
      <c r="A311" s="701" t="s">
        <v>542</v>
      </c>
      <c r="B311" s="702"/>
      <c r="C311" s="702"/>
      <c r="D311" s="702"/>
      <c r="E311" s="702"/>
      <c r="F311" s="702"/>
      <c r="G311" s="702"/>
      <c r="H311" s="702"/>
      <c r="I311" s="702"/>
      <c r="J311" s="702"/>
      <c r="K311" s="702"/>
      <c r="L311" s="702"/>
      <c r="M311" s="702"/>
      <c r="N311" s="703"/>
      <c r="V311" s="8"/>
      <c r="W311" s="8"/>
      <c r="X311" s="8"/>
      <c r="Y311" s="8"/>
    </row>
    <row r="312" spans="1:25" ht="12.75" customHeight="1" x14ac:dyDescent="0.2">
      <c r="A312" s="180" t="s">
        <v>48</v>
      </c>
      <c r="B312" s="145"/>
      <c r="C312" s="145"/>
      <c r="D312" s="146">
        <v>248575</v>
      </c>
      <c r="E312" s="181">
        <v>114138</v>
      </c>
      <c r="F312" s="148">
        <f>D312/E312</f>
        <v>2.1778461161050657</v>
      </c>
      <c r="G312" s="149">
        <v>213747</v>
      </c>
      <c r="H312" s="149">
        <v>104346</v>
      </c>
      <c r="I312" s="150">
        <f t="shared" ref="I312:I318" si="152">G312/D312</f>
        <v>0.859889369405612</v>
      </c>
      <c r="J312" s="150">
        <f>+H312/E312</f>
        <v>0.91420911528150139</v>
      </c>
      <c r="K312" s="149">
        <v>76576</v>
      </c>
      <c r="L312" s="149">
        <v>71223</v>
      </c>
      <c r="M312" s="150">
        <f t="shared" ref="M312:M318" si="153">+K312/E312</f>
        <v>0.67090714748812841</v>
      </c>
      <c r="N312" s="151">
        <f>K312/H312</f>
        <v>0.73386617599141313</v>
      </c>
      <c r="V312" s="8"/>
      <c r="W312" s="8"/>
      <c r="X312" s="8"/>
      <c r="Y312" s="8"/>
    </row>
    <row r="313" spans="1:25" ht="12.75" customHeight="1" x14ac:dyDescent="0.2">
      <c r="A313" s="686" t="s">
        <v>49</v>
      </c>
      <c r="B313" s="689" t="s">
        <v>50</v>
      </c>
      <c r="C313" s="690"/>
      <c r="D313" s="152">
        <v>204168</v>
      </c>
      <c r="E313" s="182">
        <v>84790</v>
      </c>
      <c r="F313" s="154">
        <f>D313/E313</f>
        <v>2.407925462908362</v>
      </c>
      <c r="G313" s="155">
        <v>176751</v>
      </c>
      <c r="H313" s="155">
        <v>78634</v>
      </c>
      <c r="I313" s="156">
        <f t="shared" si="152"/>
        <v>0.86571353003408957</v>
      </c>
      <c r="J313" s="156">
        <f t="shared" ref="J313:J318" si="154">+H313/E313</f>
        <v>0.92739709871447107</v>
      </c>
      <c r="K313" s="155">
        <v>59275</v>
      </c>
      <c r="L313" s="155">
        <v>54920</v>
      </c>
      <c r="M313" s="156">
        <f t="shared" si="153"/>
        <v>0.69908008019813661</v>
      </c>
      <c r="N313" s="157">
        <f t="shared" ref="N313:N318" si="155">K313/H313</f>
        <v>0.75380878500394233</v>
      </c>
      <c r="V313" s="8"/>
      <c r="W313" s="8"/>
      <c r="X313" s="8"/>
      <c r="Y313" s="8"/>
    </row>
    <row r="314" spans="1:25" ht="12.75" customHeight="1" x14ac:dyDescent="0.2">
      <c r="A314" s="687"/>
      <c r="B314" s="691" t="s">
        <v>49</v>
      </c>
      <c r="C314" s="158" t="s">
        <v>51</v>
      </c>
      <c r="D314" s="159">
        <v>172949</v>
      </c>
      <c r="E314" s="183">
        <v>79653</v>
      </c>
      <c r="F314" s="161">
        <f t="shared" ref="F314:F318" si="156">D314/E314</f>
        <v>2.171280428860181</v>
      </c>
      <c r="G314" s="162">
        <v>150011</v>
      </c>
      <c r="H314" s="162">
        <v>73940</v>
      </c>
      <c r="I314" s="163">
        <f t="shared" si="152"/>
        <v>0.86737130599193979</v>
      </c>
      <c r="J314" s="163">
        <f t="shared" si="154"/>
        <v>0.92827639888014257</v>
      </c>
      <c r="K314" s="162">
        <v>56439</v>
      </c>
      <c r="L314" s="162">
        <v>50614</v>
      </c>
      <c r="M314" s="163">
        <f t="shared" si="153"/>
        <v>0.70856088282927199</v>
      </c>
      <c r="N314" s="164">
        <f t="shared" si="155"/>
        <v>0.7633080876386259</v>
      </c>
      <c r="V314" s="8"/>
      <c r="W314" s="8"/>
      <c r="X314" s="8"/>
      <c r="Y314" s="8"/>
    </row>
    <row r="315" spans="1:25" ht="12.75" customHeight="1" x14ac:dyDescent="0.2">
      <c r="A315" s="687"/>
      <c r="B315" s="711"/>
      <c r="C315" s="165" t="s">
        <v>52</v>
      </c>
      <c r="D315" s="166">
        <v>31229</v>
      </c>
      <c r="E315" s="184">
        <v>15861</v>
      </c>
      <c r="F315" s="168">
        <f t="shared" si="156"/>
        <v>1.9689174705251875</v>
      </c>
      <c r="G315" s="169">
        <v>26740</v>
      </c>
      <c r="H315" s="169">
        <v>14047</v>
      </c>
      <c r="I315" s="170">
        <f t="shared" si="152"/>
        <v>0.8562554036312402</v>
      </c>
      <c r="J315" s="170">
        <f t="shared" si="154"/>
        <v>0.88563142298720132</v>
      </c>
      <c r="K315" s="169">
        <v>5187</v>
      </c>
      <c r="L315" s="169">
        <v>4670</v>
      </c>
      <c r="M315" s="170">
        <f t="shared" si="153"/>
        <v>0.32702856062038965</v>
      </c>
      <c r="N315" s="171">
        <f t="shared" si="155"/>
        <v>0.3692603402861821</v>
      </c>
      <c r="V315" s="8"/>
      <c r="W315" s="8"/>
      <c r="X315" s="8"/>
      <c r="Y315" s="8"/>
    </row>
    <row r="316" spans="1:25" ht="12.75" customHeight="1" x14ac:dyDescent="0.2">
      <c r="A316" s="687"/>
      <c r="B316" s="689" t="s">
        <v>53</v>
      </c>
      <c r="C316" s="690"/>
      <c r="D316" s="152">
        <v>44407</v>
      </c>
      <c r="E316" s="182">
        <v>34890</v>
      </c>
      <c r="F316" s="154">
        <f t="shared" si="156"/>
        <v>1.2727715677844655</v>
      </c>
      <c r="G316" s="155">
        <v>36996</v>
      </c>
      <c r="H316" s="155">
        <v>30072</v>
      </c>
      <c r="I316" s="156">
        <f t="shared" si="152"/>
        <v>0.83311189677303132</v>
      </c>
      <c r="J316" s="156">
        <f t="shared" si="154"/>
        <v>0.86190885640584691</v>
      </c>
      <c r="K316" s="155">
        <v>18865</v>
      </c>
      <c r="L316" s="155">
        <v>16761</v>
      </c>
      <c r="M316" s="156">
        <f t="shared" si="153"/>
        <v>0.54069934078532533</v>
      </c>
      <c r="N316" s="157">
        <f t="shared" si="155"/>
        <v>0.62732774674115455</v>
      </c>
      <c r="V316" s="8"/>
      <c r="W316" s="8"/>
      <c r="X316" s="8"/>
      <c r="Y316" s="8"/>
    </row>
    <row r="317" spans="1:25" ht="12.75" customHeight="1" x14ac:dyDescent="0.2">
      <c r="A317" s="687"/>
      <c r="B317" s="691" t="s">
        <v>49</v>
      </c>
      <c r="C317" s="158" t="s">
        <v>51</v>
      </c>
      <c r="D317" s="159">
        <v>42633</v>
      </c>
      <c r="E317" s="183">
        <v>33852</v>
      </c>
      <c r="F317" s="161">
        <f t="shared" si="156"/>
        <v>1.2593938319744771</v>
      </c>
      <c r="G317" s="162">
        <v>35448</v>
      </c>
      <c r="H317" s="162">
        <v>29127</v>
      </c>
      <c r="I317" s="163">
        <f t="shared" si="152"/>
        <v>0.83146858067694041</v>
      </c>
      <c r="J317" s="163">
        <f t="shared" si="154"/>
        <v>0.86042183622828783</v>
      </c>
      <c r="K317" s="162">
        <v>18121</v>
      </c>
      <c r="L317" s="162">
        <v>16065</v>
      </c>
      <c r="M317" s="163">
        <f t="shared" si="153"/>
        <v>0.53530072078459179</v>
      </c>
      <c r="N317" s="164">
        <f t="shared" si="155"/>
        <v>0.62213753561987162</v>
      </c>
      <c r="V317" s="8"/>
      <c r="W317" s="8"/>
      <c r="X317" s="8"/>
      <c r="Y317" s="8"/>
    </row>
    <row r="318" spans="1:25" ht="12.75" customHeight="1" thickBot="1" x14ac:dyDescent="0.25">
      <c r="A318" s="688"/>
      <c r="B318" s="693"/>
      <c r="C318" s="185" t="s">
        <v>52</v>
      </c>
      <c r="D318" s="186">
        <v>1774</v>
      </c>
      <c r="E318" s="187">
        <v>1485</v>
      </c>
      <c r="F318" s="188">
        <f t="shared" si="156"/>
        <v>1.1946127946127947</v>
      </c>
      <c r="G318" s="189">
        <v>1508</v>
      </c>
      <c r="H318" s="189">
        <v>1302</v>
      </c>
      <c r="I318" s="190">
        <f t="shared" si="152"/>
        <v>0.8500563697857948</v>
      </c>
      <c r="J318" s="190">
        <f t="shared" si="154"/>
        <v>0.87676767676767675</v>
      </c>
      <c r="K318" s="189">
        <v>833</v>
      </c>
      <c r="L318" s="189">
        <v>717</v>
      </c>
      <c r="M318" s="190">
        <f t="shared" si="153"/>
        <v>0.56094276094276097</v>
      </c>
      <c r="N318" s="191">
        <f t="shared" si="155"/>
        <v>0.63978494623655913</v>
      </c>
      <c r="V318" s="8"/>
      <c r="W318" s="8"/>
      <c r="X318" s="8"/>
      <c r="Y318" s="8"/>
    </row>
    <row r="319" spans="1:25" ht="12.75" customHeight="1" thickTop="1" thickBot="1" x14ac:dyDescent="0.25">
      <c r="A319" s="701" t="s">
        <v>544</v>
      </c>
      <c r="B319" s="702"/>
      <c r="C319" s="702"/>
      <c r="D319" s="702"/>
      <c r="E319" s="702"/>
      <c r="F319" s="702"/>
      <c r="G319" s="702"/>
      <c r="H319" s="702"/>
      <c r="I319" s="702"/>
      <c r="J319" s="702"/>
      <c r="K319" s="702"/>
      <c r="L319" s="702"/>
      <c r="M319" s="702"/>
      <c r="N319" s="703"/>
      <c r="V319" s="8"/>
      <c r="W319" s="8"/>
      <c r="X319" s="8"/>
      <c r="Y319" s="8"/>
    </row>
    <row r="320" spans="1:25" ht="12.75" customHeight="1" x14ac:dyDescent="0.2">
      <c r="A320" s="180" t="s">
        <v>48</v>
      </c>
      <c r="B320" s="145"/>
      <c r="C320" s="145"/>
      <c r="D320" s="146">
        <v>231132</v>
      </c>
      <c r="E320" s="181">
        <v>105050</v>
      </c>
      <c r="F320" s="148">
        <f>D320/E320</f>
        <v>2.2002094240837695</v>
      </c>
      <c r="G320" s="149">
        <v>197846</v>
      </c>
      <c r="H320" s="149">
        <v>95940</v>
      </c>
      <c r="I320" s="150">
        <f t="shared" ref="I320:I326" si="157">G320/D320</f>
        <v>0.85598705501618122</v>
      </c>
      <c r="J320" s="150">
        <f>+H320/E320</f>
        <v>0.91327939076630171</v>
      </c>
      <c r="K320" s="149">
        <v>71778</v>
      </c>
      <c r="L320" s="149">
        <v>67071</v>
      </c>
      <c r="M320" s="150">
        <f t="shared" ref="M320:M326" si="158">+K320/E320</f>
        <v>0.68327463112803422</v>
      </c>
      <c r="N320" s="151">
        <f>K320/H320</f>
        <v>0.7481550969355848</v>
      </c>
      <c r="V320" s="8"/>
      <c r="W320" s="8"/>
      <c r="X320" s="8"/>
      <c r="Y320" s="8"/>
    </row>
    <row r="321" spans="1:25" ht="12.75" customHeight="1" x14ac:dyDescent="0.2">
      <c r="A321" s="686" t="s">
        <v>49</v>
      </c>
      <c r="B321" s="689" t="s">
        <v>50</v>
      </c>
      <c r="C321" s="690"/>
      <c r="D321" s="152">
        <v>191750</v>
      </c>
      <c r="E321" s="182">
        <v>78999</v>
      </c>
      <c r="F321" s="154">
        <f>D321/E321</f>
        <v>2.4272459145052467</v>
      </c>
      <c r="G321" s="155">
        <v>165384</v>
      </c>
      <c r="H321" s="155">
        <v>73226</v>
      </c>
      <c r="I321" s="156">
        <f t="shared" si="157"/>
        <v>0.86249804432855282</v>
      </c>
      <c r="J321" s="156">
        <f t="shared" ref="J321:J326" si="159">+H321/E321</f>
        <v>0.92692312560918488</v>
      </c>
      <c r="K321" s="155">
        <v>55772</v>
      </c>
      <c r="L321" s="155">
        <v>51852</v>
      </c>
      <c r="M321" s="156">
        <f t="shared" si="158"/>
        <v>0.70598362004582338</v>
      </c>
      <c r="N321" s="157">
        <f t="shared" ref="N321:N326" si="160">K321/H321</f>
        <v>0.76164203971267042</v>
      </c>
      <c r="V321" s="8"/>
      <c r="W321" s="8"/>
      <c r="X321" s="8"/>
      <c r="Y321" s="8"/>
    </row>
    <row r="322" spans="1:25" ht="12.75" customHeight="1" x14ac:dyDescent="0.2">
      <c r="A322" s="687"/>
      <c r="B322" s="691" t="s">
        <v>49</v>
      </c>
      <c r="C322" s="158" t="s">
        <v>51</v>
      </c>
      <c r="D322" s="159">
        <v>161497</v>
      </c>
      <c r="E322" s="183">
        <v>74117</v>
      </c>
      <c r="F322" s="161">
        <f t="shared" ref="F322:F326" si="161">D322/E322</f>
        <v>2.1789468003292094</v>
      </c>
      <c r="G322" s="162">
        <v>139434</v>
      </c>
      <c r="H322" s="162">
        <v>68611</v>
      </c>
      <c r="I322" s="163">
        <f t="shared" si="157"/>
        <v>0.86338445915404005</v>
      </c>
      <c r="J322" s="163">
        <f t="shared" si="159"/>
        <v>0.92571204986710198</v>
      </c>
      <c r="K322" s="162">
        <v>52890</v>
      </c>
      <c r="L322" s="162">
        <v>47582</v>
      </c>
      <c r="M322" s="163">
        <f t="shared" si="158"/>
        <v>0.71360146794932333</v>
      </c>
      <c r="N322" s="164">
        <f t="shared" si="160"/>
        <v>0.77086764512978967</v>
      </c>
      <c r="V322" s="8"/>
      <c r="W322" s="8"/>
      <c r="X322" s="8"/>
      <c r="Y322" s="8"/>
    </row>
    <row r="323" spans="1:25" ht="12.75" customHeight="1" x14ac:dyDescent="0.2">
      <c r="A323" s="687"/>
      <c r="B323" s="692"/>
      <c r="C323" s="165" t="s">
        <v>52</v>
      </c>
      <c r="D323" s="166">
        <v>30253</v>
      </c>
      <c r="E323" s="184">
        <v>14805</v>
      </c>
      <c r="F323" s="168">
        <f t="shared" si="161"/>
        <v>2.0434312732185074</v>
      </c>
      <c r="G323" s="169">
        <v>25950</v>
      </c>
      <c r="H323" s="169">
        <v>13395</v>
      </c>
      <c r="I323" s="170">
        <f t="shared" si="157"/>
        <v>0.85776617194988924</v>
      </c>
      <c r="J323" s="170">
        <f t="shared" si="159"/>
        <v>0.90476190476190477</v>
      </c>
      <c r="K323" s="169">
        <v>5159</v>
      </c>
      <c r="L323" s="169">
        <v>4606</v>
      </c>
      <c r="M323" s="170">
        <f t="shared" si="158"/>
        <v>0.34846335697399528</v>
      </c>
      <c r="N323" s="171">
        <f t="shared" si="160"/>
        <v>0.38514371033967898</v>
      </c>
      <c r="V323" s="8"/>
      <c r="W323" s="8"/>
      <c r="X323" s="8"/>
      <c r="Y323" s="8"/>
    </row>
    <row r="324" spans="1:25" ht="12.75" customHeight="1" x14ac:dyDescent="0.2">
      <c r="A324" s="687"/>
      <c r="B324" s="689" t="s">
        <v>53</v>
      </c>
      <c r="C324" s="690"/>
      <c r="D324" s="152">
        <v>39382</v>
      </c>
      <c r="E324" s="182">
        <v>31160</v>
      </c>
      <c r="F324" s="154">
        <f t="shared" si="161"/>
        <v>1.2638639281129653</v>
      </c>
      <c r="G324" s="155">
        <v>32462</v>
      </c>
      <c r="H324" s="155">
        <v>26647</v>
      </c>
      <c r="I324" s="156">
        <f t="shared" si="157"/>
        <v>0.8242852064394901</v>
      </c>
      <c r="J324" s="156">
        <f t="shared" si="159"/>
        <v>0.85516688061617463</v>
      </c>
      <c r="K324" s="155">
        <v>17384</v>
      </c>
      <c r="L324" s="155">
        <v>15617</v>
      </c>
      <c r="M324" s="156">
        <f t="shared" si="158"/>
        <v>0.55789473684210522</v>
      </c>
      <c r="N324" s="157">
        <f t="shared" si="160"/>
        <v>0.65238113108417461</v>
      </c>
      <c r="V324" s="8"/>
      <c r="W324" s="8"/>
      <c r="X324" s="8"/>
      <c r="Y324" s="8"/>
    </row>
    <row r="325" spans="1:25" ht="12.75" customHeight="1" x14ac:dyDescent="0.2">
      <c r="A325" s="687"/>
      <c r="B325" s="691" t="s">
        <v>49</v>
      </c>
      <c r="C325" s="158" t="s">
        <v>51</v>
      </c>
      <c r="D325" s="159">
        <v>38089</v>
      </c>
      <c r="E325" s="183">
        <v>30482</v>
      </c>
      <c r="F325" s="161">
        <f t="shared" si="161"/>
        <v>1.2495571156748244</v>
      </c>
      <c r="G325" s="162">
        <v>31391</v>
      </c>
      <c r="H325" s="162">
        <v>26041</v>
      </c>
      <c r="I325" s="163">
        <f t="shared" si="157"/>
        <v>0.82414870435033738</v>
      </c>
      <c r="J325" s="163">
        <f t="shared" si="159"/>
        <v>0.8543074601404107</v>
      </c>
      <c r="K325" s="162">
        <v>17003</v>
      </c>
      <c r="L325" s="162">
        <v>15259</v>
      </c>
      <c r="M325" s="163">
        <f t="shared" si="158"/>
        <v>0.55780460599698178</v>
      </c>
      <c r="N325" s="164">
        <f t="shared" si="160"/>
        <v>0.65293191505702541</v>
      </c>
      <c r="V325" s="8"/>
      <c r="W325" s="8"/>
      <c r="X325" s="8"/>
      <c r="Y325" s="8"/>
    </row>
    <row r="326" spans="1:25" ht="12.75" customHeight="1" thickBot="1" x14ac:dyDescent="0.25">
      <c r="A326" s="688"/>
      <c r="B326" s="693"/>
      <c r="C326" s="185" t="s">
        <v>52</v>
      </c>
      <c r="D326" s="186">
        <v>1293</v>
      </c>
      <c r="E326" s="187">
        <v>1037</v>
      </c>
      <c r="F326" s="188">
        <f t="shared" si="161"/>
        <v>1.2468659594985536</v>
      </c>
      <c r="G326" s="189">
        <v>1071</v>
      </c>
      <c r="H326" s="189">
        <v>896</v>
      </c>
      <c r="I326" s="190">
        <f t="shared" si="157"/>
        <v>0.82830626450116007</v>
      </c>
      <c r="J326" s="190">
        <f t="shared" si="159"/>
        <v>0.86403085824493731</v>
      </c>
      <c r="K326" s="189">
        <v>455</v>
      </c>
      <c r="L326" s="189">
        <v>378</v>
      </c>
      <c r="M326" s="190">
        <f t="shared" si="158"/>
        <v>0.43876567020250723</v>
      </c>
      <c r="N326" s="191">
        <f t="shared" si="160"/>
        <v>0.5078125</v>
      </c>
      <c r="V326" s="8"/>
      <c r="W326" s="8"/>
      <c r="X326" s="8"/>
      <c r="Y326" s="8"/>
    </row>
    <row r="327" spans="1:25" ht="12.75" customHeight="1" thickTop="1" thickBot="1" x14ac:dyDescent="0.25">
      <c r="A327" s="705" t="s">
        <v>551</v>
      </c>
      <c r="B327" s="706"/>
      <c r="C327" s="706"/>
      <c r="D327" s="706"/>
      <c r="E327" s="706"/>
      <c r="F327" s="706"/>
      <c r="G327" s="706"/>
      <c r="H327" s="706"/>
      <c r="I327" s="706"/>
      <c r="J327" s="706"/>
      <c r="K327" s="706"/>
      <c r="L327" s="706"/>
      <c r="M327" s="706"/>
      <c r="N327" s="707"/>
      <c r="V327" s="8"/>
      <c r="W327" s="8"/>
      <c r="X327" s="8"/>
      <c r="Y327" s="8"/>
    </row>
    <row r="328" spans="1:25" ht="12.75" customHeight="1" x14ac:dyDescent="0.2">
      <c r="A328" s="180" t="s">
        <v>48</v>
      </c>
      <c r="B328" s="145"/>
      <c r="C328" s="145"/>
      <c r="D328" s="146">
        <v>213624</v>
      </c>
      <c r="E328" s="181">
        <v>95900</v>
      </c>
      <c r="F328" s="148">
        <f>D328/E328</f>
        <v>2.2275703858185611</v>
      </c>
      <c r="G328" s="149">
        <v>182401</v>
      </c>
      <c r="H328" s="149">
        <v>87763</v>
      </c>
      <c r="I328" s="150">
        <f t="shared" ref="I328:I334" si="162">G328/D328</f>
        <v>0.85384132868966034</v>
      </c>
      <c r="J328" s="150">
        <f>+H328/E328</f>
        <v>0.91515119916579768</v>
      </c>
      <c r="K328" s="149">
        <v>67709</v>
      </c>
      <c r="L328" s="149">
        <v>63185</v>
      </c>
      <c r="M328" s="150">
        <f t="shared" ref="M328:M334" si="163">+K328/E328</f>
        <v>0.70603753910323253</v>
      </c>
      <c r="N328" s="151">
        <f>K328/H328</f>
        <v>0.77149823957704267</v>
      </c>
      <c r="V328" s="8"/>
      <c r="W328" s="8"/>
      <c r="X328" s="8"/>
      <c r="Y328" s="8"/>
    </row>
    <row r="329" spans="1:25" ht="12.75" customHeight="1" x14ac:dyDescent="0.2">
      <c r="A329" s="686" t="s">
        <v>49</v>
      </c>
      <c r="B329" s="689" t="s">
        <v>50</v>
      </c>
      <c r="C329" s="690"/>
      <c r="D329" s="152">
        <v>178963</v>
      </c>
      <c r="E329" s="182">
        <v>72993</v>
      </c>
      <c r="F329" s="154">
        <f>D329/E329</f>
        <v>2.4517830476895046</v>
      </c>
      <c r="G329" s="155">
        <v>153797</v>
      </c>
      <c r="H329" s="155">
        <v>67791</v>
      </c>
      <c r="I329" s="156">
        <f t="shared" si="162"/>
        <v>0.85937875426764188</v>
      </c>
      <c r="J329" s="156">
        <f t="shared" ref="J329:J334" si="164">+H329/E329</f>
        <v>0.92873289219514199</v>
      </c>
      <c r="K329" s="155">
        <v>52615</v>
      </c>
      <c r="L329" s="155">
        <v>48927</v>
      </c>
      <c r="M329" s="156">
        <f t="shared" si="163"/>
        <v>0.72082254462756701</v>
      </c>
      <c r="N329" s="157">
        <f t="shared" ref="N329:N334" si="165">K329/H329</f>
        <v>0.77613547521057369</v>
      </c>
      <c r="V329" s="8"/>
      <c r="W329" s="8"/>
      <c r="X329" s="8"/>
      <c r="Y329" s="8"/>
    </row>
    <row r="330" spans="1:25" ht="12.75" customHeight="1" x14ac:dyDescent="0.2">
      <c r="A330" s="687"/>
      <c r="B330" s="691" t="s">
        <v>49</v>
      </c>
      <c r="C330" s="158" t="s">
        <v>51</v>
      </c>
      <c r="D330" s="159">
        <v>149713</v>
      </c>
      <c r="E330" s="183">
        <v>68394</v>
      </c>
      <c r="F330" s="161">
        <f t="shared" ref="F330:F334" si="166">D330/E330</f>
        <v>2.1889785653712313</v>
      </c>
      <c r="G330" s="162">
        <v>128944</v>
      </c>
      <c r="H330" s="162">
        <v>63458</v>
      </c>
      <c r="I330" s="163">
        <f t="shared" si="162"/>
        <v>0.86127457201445434</v>
      </c>
      <c r="J330" s="163">
        <f t="shared" si="164"/>
        <v>0.92782992660174868</v>
      </c>
      <c r="K330" s="162">
        <v>49745</v>
      </c>
      <c r="L330" s="162">
        <v>44744</v>
      </c>
      <c r="M330" s="163">
        <f t="shared" si="163"/>
        <v>0.72732988273825194</v>
      </c>
      <c r="N330" s="164">
        <f t="shared" si="165"/>
        <v>0.78390431466481769</v>
      </c>
      <c r="V330" s="8"/>
      <c r="W330" s="8"/>
      <c r="X330" s="8"/>
      <c r="Y330" s="8"/>
    </row>
    <row r="331" spans="1:25" ht="12.75" customHeight="1" x14ac:dyDescent="0.2">
      <c r="A331" s="687"/>
      <c r="B331" s="692"/>
      <c r="C331" s="165" t="s">
        <v>52</v>
      </c>
      <c r="D331" s="166">
        <v>29250</v>
      </c>
      <c r="E331" s="184">
        <v>14060</v>
      </c>
      <c r="F331" s="168">
        <f t="shared" si="166"/>
        <v>2.0803698435277385</v>
      </c>
      <c r="G331" s="169">
        <v>24853</v>
      </c>
      <c r="H331" s="169">
        <v>12639</v>
      </c>
      <c r="I331" s="170">
        <f t="shared" si="162"/>
        <v>0.8496752136752137</v>
      </c>
      <c r="J331" s="170">
        <f t="shared" si="164"/>
        <v>0.89893314366998578</v>
      </c>
      <c r="K331" s="169">
        <v>5044</v>
      </c>
      <c r="L331" s="169">
        <v>4474</v>
      </c>
      <c r="M331" s="170">
        <f t="shared" si="163"/>
        <v>0.35874822190611666</v>
      </c>
      <c r="N331" s="171">
        <f t="shared" si="165"/>
        <v>0.39908220587071763</v>
      </c>
      <c r="V331" s="8"/>
      <c r="W331" s="8"/>
      <c r="X331" s="8"/>
      <c r="Y331" s="8"/>
    </row>
    <row r="332" spans="1:25" ht="12.75" customHeight="1" x14ac:dyDescent="0.2">
      <c r="A332" s="687"/>
      <c r="B332" s="689" t="s">
        <v>53</v>
      </c>
      <c r="C332" s="690"/>
      <c r="D332" s="152">
        <v>34661</v>
      </c>
      <c r="E332" s="182">
        <v>27437</v>
      </c>
      <c r="F332" s="154">
        <f t="shared" si="166"/>
        <v>1.2632940919196705</v>
      </c>
      <c r="G332" s="155">
        <v>28604</v>
      </c>
      <c r="H332" s="155">
        <v>23529</v>
      </c>
      <c r="I332" s="156">
        <f t="shared" si="162"/>
        <v>0.8252502812959811</v>
      </c>
      <c r="J332" s="156">
        <f t="shared" si="164"/>
        <v>0.8575646025440099</v>
      </c>
      <c r="K332" s="155">
        <v>16445</v>
      </c>
      <c r="L332" s="155">
        <v>14637</v>
      </c>
      <c r="M332" s="156">
        <f t="shared" si="163"/>
        <v>0.59937310930495313</v>
      </c>
      <c r="N332" s="157">
        <f t="shared" si="165"/>
        <v>0.69892473118279574</v>
      </c>
      <c r="V332" s="8"/>
      <c r="W332" s="8"/>
      <c r="X332" s="8"/>
      <c r="Y332" s="8"/>
    </row>
    <row r="333" spans="1:25" ht="12.75" customHeight="1" x14ac:dyDescent="0.2">
      <c r="A333" s="687"/>
      <c r="B333" s="691" t="s">
        <v>49</v>
      </c>
      <c r="C333" s="158" t="s">
        <v>51</v>
      </c>
      <c r="D333" s="159">
        <v>33574</v>
      </c>
      <c r="E333" s="183">
        <v>26818</v>
      </c>
      <c r="F333" s="161">
        <f t="shared" si="166"/>
        <v>1.2519203520023865</v>
      </c>
      <c r="G333" s="162">
        <v>27707</v>
      </c>
      <c r="H333" s="162">
        <v>22981</v>
      </c>
      <c r="I333" s="163">
        <f t="shared" si="162"/>
        <v>0.82525168284982431</v>
      </c>
      <c r="J333" s="163">
        <f t="shared" si="164"/>
        <v>0.85692445372510995</v>
      </c>
      <c r="K333" s="162">
        <v>16041</v>
      </c>
      <c r="L333" s="162">
        <v>14251</v>
      </c>
      <c r="M333" s="163">
        <f t="shared" si="163"/>
        <v>0.59814303825788651</v>
      </c>
      <c r="N333" s="164">
        <f t="shared" si="165"/>
        <v>0.69801140072233581</v>
      </c>
      <c r="V333" s="8"/>
      <c r="W333" s="8"/>
      <c r="X333" s="8"/>
      <c r="Y333" s="8"/>
    </row>
    <row r="334" spans="1:25" ht="12.75" customHeight="1" thickBot="1" x14ac:dyDescent="0.25">
      <c r="A334" s="688"/>
      <c r="B334" s="693"/>
      <c r="C334" s="185" t="s">
        <v>52</v>
      </c>
      <c r="D334" s="186">
        <v>1087</v>
      </c>
      <c r="E334" s="187">
        <v>884</v>
      </c>
      <c r="F334" s="188">
        <f t="shared" si="166"/>
        <v>1.2296380090497738</v>
      </c>
      <c r="G334" s="189">
        <v>897</v>
      </c>
      <c r="H334" s="189">
        <v>761</v>
      </c>
      <c r="I334" s="190">
        <f t="shared" si="162"/>
        <v>0.82520699172033118</v>
      </c>
      <c r="J334" s="190">
        <f t="shared" si="164"/>
        <v>0.86085972850678738</v>
      </c>
      <c r="K334" s="189">
        <v>448</v>
      </c>
      <c r="L334" s="189">
        <v>398</v>
      </c>
      <c r="M334" s="190">
        <f t="shared" si="163"/>
        <v>0.50678733031674206</v>
      </c>
      <c r="N334" s="191">
        <f t="shared" si="165"/>
        <v>0.58869908015768724</v>
      </c>
      <c r="V334" s="8"/>
      <c r="W334" s="8"/>
      <c r="X334" s="8"/>
      <c r="Y334" s="8"/>
    </row>
    <row r="335" spans="1:25" ht="12.75" customHeight="1" thickTop="1" thickBot="1" x14ac:dyDescent="0.25">
      <c r="A335" s="705" t="s">
        <v>561</v>
      </c>
      <c r="B335" s="706"/>
      <c r="C335" s="706"/>
      <c r="D335" s="706"/>
      <c r="E335" s="706"/>
      <c r="F335" s="706"/>
      <c r="G335" s="706"/>
      <c r="H335" s="706"/>
      <c r="I335" s="706"/>
      <c r="J335" s="706"/>
      <c r="K335" s="706"/>
      <c r="L335" s="706"/>
      <c r="M335" s="706"/>
      <c r="N335" s="707"/>
      <c r="V335" s="8"/>
      <c r="W335" s="8"/>
      <c r="X335" s="8"/>
      <c r="Y335" s="8"/>
    </row>
    <row r="336" spans="1:25" ht="12.75" customHeight="1" x14ac:dyDescent="0.2">
      <c r="A336" s="180" t="s">
        <v>48</v>
      </c>
      <c r="B336" s="145"/>
      <c r="C336" s="145"/>
      <c r="D336" s="146">
        <v>203073</v>
      </c>
      <c r="E336" s="181">
        <v>91402</v>
      </c>
      <c r="F336" s="148">
        <f>D336/E336</f>
        <v>2.2217566355221985</v>
      </c>
      <c r="G336" s="651">
        <v>174846</v>
      </c>
      <c r="H336" s="149">
        <v>84358</v>
      </c>
      <c r="I336" s="150">
        <f t="shared" ref="I336:I342" si="167">G336/D336</f>
        <v>0.86100072387762039</v>
      </c>
      <c r="J336" s="150">
        <f>+H336/E336</f>
        <v>0.92293385265092664</v>
      </c>
      <c r="K336" s="149">
        <v>67541</v>
      </c>
      <c r="L336" s="149">
        <v>63286</v>
      </c>
      <c r="M336" s="150">
        <f t="shared" ref="M336:M342" si="168">+K336/E336</f>
        <v>0.73894444322881336</v>
      </c>
      <c r="N336" s="151">
        <f>K336/H336</f>
        <v>0.80064724151829114</v>
      </c>
      <c r="V336" s="8"/>
      <c r="W336" s="8"/>
      <c r="X336" s="8"/>
      <c r="Y336" s="8"/>
    </row>
    <row r="337" spans="1:25" ht="12.75" customHeight="1" x14ac:dyDescent="0.2">
      <c r="A337" s="686" t="s">
        <v>49</v>
      </c>
      <c r="B337" s="689" t="s">
        <v>50</v>
      </c>
      <c r="C337" s="690"/>
      <c r="D337" s="152">
        <v>171128</v>
      </c>
      <c r="E337" s="182">
        <v>69856</v>
      </c>
      <c r="F337" s="154">
        <f>D337/E337</f>
        <v>2.4497251488776914</v>
      </c>
      <c r="G337" s="652">
        <v>148183</v>
      </c>
      <c r="H337" s="155">
        <v>65378</v>
      </c>
      <c r="I337" s="156">
        <f t="shared" si="167"/>
        <v>0.86591907811696511</v>
      </c>
      <c r="J337" s="156">
        <f t="shared" ref="J337:J342" si="169">+H337/E337</f>
        <v>0.93589670178653228</v>
      </c>
      <c r="K337" s="155">
        <v>52535</v>
      </c>
      <c r="L337" s="155">
        <v>49067</v>
      </c>
      <c r="M337" s="156">
        <f t="shared" si="168"/>
        <v>0.75204706825469536</v>
      </c>
      <c r="N337" s="157">
        <f t="shared" ref="N337:N342" si="170">K337/H337</f>
        <v>0.80355777172749243</v>
      </c>
      <c r="V337" s="8"/>
      <c r="W337" s="8"/>
      <c r="X337" s="8"/>
      <c r="Y337" s="8"/>
    </row>
    <row r="338" spans="1:25" ht="12.75" customHeight="1" x14ac:dyDescent="0.2">
      <c r="A338" s="687"/>
      <c r="B338" s="691" t="s">
        <v>49</v>
      </c>
      <c r="C338" s="158" t="s">
        <v>51</v>
      </c>
      <c r="D338" s="159">
        <v>142337</v>
      </c>
      <c r="E338" s="183">
        <v>65629</v>
      </c>
      <c r="F338" s="161">
        <f t="shared" ref="F338:F342" si="171">D338/E338</f>
        <v>2.1688125676149261</v>
      </c>
      <c r="G338" s="653">
        <v>123602</v>
      </c>
      <c r="H338" s="162">
        <v>61452</v>
      </c>
      <c r="I338" s="163">
        <f t="shared" si="167"/>
        <v>0.86837575612806228</v>
      </c>
      <c r="J338" s="163">
        <f t="shared" si="169"/>
        <v>0.936354355544043</v>
      </c>
      <c r="K338" s="162">
        <v>49639</v>
      </c>
      <c r="L338" s="162">
        <v>44717</v>
      </c>
      <c r="M338" s="163">
        <f t="shared" si="168"/>
        <v>0.75635770772067223</v>
      </c>
      <c r="N338" s="164">
        <f t="shared" si="170"/>
        <v>0.8077686649742889</v>
      </c>
      <c r="V338" s="8"/>
      <c r="W338" s="8"/>
      <c r="X338" s="8"/>
      <c r="Y338" s="8"/>
    </row>
    <row r="339" spans="1:25" ht="12.75" customHeight="1" x14ac:dyDescent="0.2">
      <c r="A339" s="687"/>
      <c r="B339" s="692"/>
      <c r="C339" s="165" t="s">
        <v>52</v>
      </c>
      <c r="D339" s="166">
        <v>28791</v>
      </c>
      <c r="E339" s="184">
        <v>13357</v>
      </c>
      <c r="F339" s="168">
        <f t="shared" si="171"/>
        <v>2.1554989892940033</v>
      </c>
      <c r="G339" s="654">
        <v>24581</v>
      </c>
      <c r="H339" s="169">
        <v>11853</v>
      </c>
      <c r="I339" s="170">
        <f t="shared" si="167"/>
        <v>0.85377374874092593</v>
      </c>
      <c r="J339" s="170">
        <f t="shared" si="169"/>
        <v>0.88739986523920045</v>
      </c>
      <c r="K339" s="169">
        <v>5257</v>
      </c>
      <c r="L339" s="169">
        <v>4670</v>
      </c>
      <c r="M339" s="170">
        <f t="shared" si="168"/>
        <v>0.39357640188665122</v>
      </c>
      <c r="N339" s="171">
        <f t="shared" si="170"/>
        <v>0.44351640934784442</v>
      </c>
      <c r="V339" s="8"/>
      <c r="W339" s="8"/>
      <c r="X339" s="8"/>
      <c r="Y339" s="8"/>
    </row>
    <row r="340" spans="1:25" ht="12.75" customHeight="1" x14ac:dyDescent="0.2">
      <c r="A340" s="687"/>
      <c r="B340" s="689" t="s">
        <v>53</v>
      </c>
      <c r="C340" s="690"/>
      <c r="D340" s="152">
        <f>D336-D337</f>
        <v>31945</v>
      </c>
      <c r="E340" s="182">
        <v>25515</v>
      </c>
      <c r="F340" s="154">
        <f t="shared" si="171"/>
        <v>1.2520086223789928</v>
      </c>
      <c r="G340" s="655">
        <f>G336-G337</f>
        <v>26663</v>
      </c>
      <c r="H340" s="155">
        <v>22115</v>
      </c>
      <c r="I340" s="156">
        <f t="shared" si="167"/>
        <v>0.8346533103772108</v>
      </c>
      <c r="J340" s="156">
        <f t="shared" si="169"/>
        <v>0.8667450519302371</v>
      </c>
      <c r="K340" s="155">
        <v>16330</v>
      </c>
      <c r="L340" s="155">
        <v>14580</v>
      </c>
      <c r="M340" s="156">
        <f t="shared" si="168"/>
        <v>0.64001567705271412</v>
      </c>
      <c r="N340" s="157">
        <f t="shared" si="170"/>
        <v>0.73841284196246892</v>
      </c>
      <c r="V340" s="8"/>
      <c r="W340" s="8"/>
      <c r="X340" s="8"/>
      <c r="Y340" s="8"/>
    </row>
    <row r="341" spans="1:25" ht="12.75" customHeight="1" x14ac:dyDescent="0.2">
      <c r="A341" s="687"/>
      <c r="B341" s="691" t="s">
        <v>49</v>
      </c>
      <c r="C341" s="158" t="s">
        <v>51</v>
      </c>
      <c r="D341" s="159">
        <v>30879</v>
      </c>
      <c r="E341" s="183">
        <v>24889</v>
      </c>
      <c r="F341" s="161">
        <f t="shared" si="171"/>
        <v>1.240668568443891</v>
      </c>
      <c r="G341" s="653">
        <v>25791</v>
      </c>
      <c r="H341" s="162">
        <v>21554</v>
      </c>
      <c r="I341" s="163">
        <f t="shared" si="167"/>
        <v>0.83522782473525692</v>
      </c>
      <c r="J341" s="163">
        <f t="shared" si="169"/>
        <v>0.86600506247739961</v>
      </c>
      <c r="K341" s="162">
        <v>15886</v>
      </c>
      <c r="L341" s="162">
        <v>14149</v>
      </c>
      <c r="M341" s="163">
        <f t="shared" si="168"/>
        <v>0.63827393627707019</v>
      </c>
      <c r="N341" s="164">
        <f t="shared" si="170"/>
        <v>0.73703256936067552</v>
      </c>
      <c r="V341" s="8"/>
      <c r="W341" s="8"/>
      <c r="X341" s="8"/>
      <c r="Y341" s="8"/>
    </row>
    <row r="342" spans="1:25" ht="12.75" customHeight="1" thickBot="1" x14ac:dyDescent="0.25">
      <c r="A342" s="688"/>
      <c r="B342" s="693"/>
      <c r="C342" s="185" t="s">
        <v>52</v>
      </c>
      <c r="D342" s="186">
        <v>1066</v>
      </c>
      <c r="E342" s="187">
        <v>852</v>
      </c>
      <c r="F342" s="188">
        <f t="shared" si="171"/>
        <v>1.2511737089201878</v>
      </c>
      <c r="G342" s="656">
        <v>872</v>
      </c>
      <c r="H342" s="189">
        <v>734</v>
      </c>
      <c r="I342" s="190">
        <f t="shared" si="167"/>
        <v>0.81801125703564725</v>
      </c>
      <c r="J342" s="190">
        <f t="shared" si="169"/>
        <v>0.86150234741784038</v>
      </c>
      <c r="K342" s="189">
        <v>493</v>
      </c>
      <c r="L342" s="189">
        <v>440</v>
      </c>
      <c r="M342" s="190">
        <f t="shared" si="168"/>
        <v>0.57863849765258213</v>
      </c>
      <c r="N342" s="191">
        <f t="shared" si="170"/>
        <v>0.67166212534059944</v>
      </c>
      <c r="V342" s="8"/>
      <c r="W342" s="8"/>
      <c r="X342" s="8"/>
      <c r="Y342" s="8"/>
    </row>
    <row r="343" spans="1:25" ht="12.75" customHeight="1" thickTop="1" thickBot="1" x14ac:dyDescent="0.25">
      <c r="A343" s="705" t="s">
        <v>586</v>
      </c>
      <c r="B343" s="706"/>
      <c r="C343" s="706"/>
      <c r="D343" s="706"/>
      <c r="E343" s="706"/>
      <c r="F343" s="706"/>
      <c r="G343" s="706"/>
      <c r="H343" s="706"/>
      <c r="I343" s="706"/>
      <c r="J343" s="706"/>
      <c r="K343" s="706"/>
      <c r="L343" s="706"/>
      <c r="M343" s="706"/>
      <c r="N343" s="707"/>
      <c r="V343" s="8"/>
      <c r="W343" s="8"/>
      <c r="X343" s="8"/>
      <c r="Y343" s="8"/>
    </row>
    <row r="344" spans="1:25" ht="12.75" customHeight="1" x14ac:dyDescent="0.2">
      <c r="A344" s="180" t="s">
        <v>48</v>
      </c>
      <c r="B344" s="145"/>
      <c r="C344" s="145"/>
      <c r="D344" s="146">
        <v>193774</v>
      </c>
      <c r="E344" s="181">
        <v>88539</v>
      </c>
      <c r="F344" s="148">
        <f>D344/E344</f>
        <v>2.1885722675882944</v>
      </c>
      <c r="G344" s="651">
        <v>166197</v>
      </c>
      <c r="H344" s="149">
        <v>81764</v>
      </c>
      <c r="I344" s="150">
        <f t="shared" ref="I344:I350" si="172">G344/D344</f>
        <v>0.85768472550496966</v>
      </c>
      <c r="J344" s="150">
        <f>+H344/E344</f>
        <v>0.92348004834027941</v>
      </c>
      <c r="K344" s="149">
        <v>66425</v>
      </c>
      <c r="L344" s="149">
        <v>62196</v>
      </c>
      <c r="M344" s="150">
        <f t="shared" ref="M344:M350" si="173">+K344/E344</f>
        <v>0.75023435999954824</v>
      </c>
      <c r="N344" s="151">
        <f>K344/H344</f>
        <v>0.81239909984834402</v>
      </c>
      <c r="V344" s="8"/>
      <c r="W344" s="8"/>
      <c r="X344" s="8"/>
      <c r="Y344" s="8"/>
    </row>
    <row r="345" spans="1:25" ht="12.75" customHeight="1" x14ac:dyDescent="0.2">
      <c r="A345" s="686" t="s">
        <v>49</v>
      </c>
      <c r="B345" s="689" t="s">
        <v>50</v>
      </c>
      <c r="C345" s="690"/>
      <c r="D345" s="152">
        <v>165088</v>
      </c>
      <c r="E345" s="182">
        <v>68879</v>
      </c>
      <c r="F345" s="154">
        <f>D345/E345</f>
        <v>2.3967827639774097</v>
      </c>
      <c r="G345" s="652">
        <v>142465</v>
      </c>
      <c r="H345" s="155">
        <v>64495</v>
      </c>
      <c r="I345" s="156">
        <f t="shared" si="172"/>
        <v>0.86296399496026366</v>
      </c>
      <c r="J345" s="156">
        <f t="shared" ref="J345:J350" si="174">+H345/E345</f>
        <v>0.93635215377691317</v>
      </c>
      <c r="K345" s="155">
        <v>52497</v>
      </c>
      <c r="L345" s="155">
        <v>49057</v>
      </c>
      <c r="M345" s="156">
        <f t="shared" si="173"/>
        <v>0.76216263302312748</v>
      </c>
      <c r="N345" s="157">
        <f t="shared" ref="N345:N350" si="175">K345/H345</f>
        <v>0.81397007519962783</v>
      </c>
      <c r="V345" s="8"/>
      <c r="W345" s="8"/>
      <c r="X345" s="8"/>
      <c r="Y345" s="8"/>
    </row>
    <row r="346" spans="1:25" ht="12.75" customHeight="1" x14ac:dyDescent="0.2">
      <c r="A346" s="687"/>
      <c r="B346" s="691" t="s">
        <v>49</v>
      </c>
      <c r="C346" s="158" t="s">
        <v>51</v>
      </c>
      <c r="D346" s="159">
        <v>137839</v>
      </c>
      <c r="E346" s="183">
        <v>64799</v>
      </c>
      <c r="F346" s="161">
        <f t="shared" ref="F346:F350" si="176">D346/E346</f>
        <v>2.1271778885476627</v>
      </c>
      <c r="G346" s="653">
        <v>119379</v>
      </c>
      <c r="H346" s="162">
        <v>60692</v>
      </c>
      <c r="I346" s="163">
        <f t="shared" si="172"/>
        <v>0.86607563897010276</v>
      </c>
      <c r="J346" s="163">
        <f t="shared" si="174"/>
        <v>0.93661939227457214</v>
      </c>
      <c r="K346" s="162">
        <v>49397</v>
      </c>
      <c r="L346" s="162">
        <v>44648</v>
      </c>
      <c r="M346" s="163">
        <f t="shared" si="173"/>
        <v>0.76231114677695644</v>
      </c>
      <c r="N346" s="164">
        <f t="shared" si="175"/>
        <v>0.81389639491201471</v>
      </c>
      <c r="V346" s="8"/>
      <c r="W346" s="8"/>
      <c r="X346" s="8"/>
      <c r="Y346" s="8"/>
    </row>
    <row r="347" spans="1:25" ht="12.75" customHeight="1" x14ac:dyDescent="0.2">
      <c r="A347" s="687"/>
      <c r="B347" s="692"/>
      <c r="C347" s="165" t="s">
        <v>52</v>
      </c>
      <c r="D347" s="166">
        <v>27249</v>
      </c>
      <c r="E347" s="184">
        <v>12846</v>
      </c>
      <c r="F347" s="168">
        <f t="shared" si="176"/>
        <v>2.1212050443717887</v>
      </c>
      <c r="G347" s="654">
        <v>23086</v>
      </c>
      <c r="H347" s="169">
        <v>11466</v>
      </c>
      <c r="I347" s="170">
        <f t="shared" si="172"/>
        <v>0.84722375133032402</v>
      </c>
      <c r="J347" s="170">
        <f t="shared" si="174"/>
        <v>0.89257356375525454</v>
      </c>
      <c r="K347" s="169">
        <v>5405</v>
      </c>
      <c r="L347" s="169">
        <v>4758</v>
      </c>
      <c r="M347" s="170">
        <f t="shared" si="173"/>
        <v>0.42075354195858633</v>
      </c>
      <c r="N347" s="171">
        <f t="shared" si="175"/>
        <v>0.47139368567939999</v>
      </c>
      <c r="V347" s="8"/>
      <c r="W347" s="8"/>
      <c r="X347" s="8"/>
      <c r="Y347" s="8"/>
    </row>
    <row r="348" spans="1:25" ht="12.75" customHeight="1" x14ac:dyDescent="0.2">
      <c r="A348" s="687"/>
      <c r="B348" s="689" t="s">
        <v>53</v>
      </c>
      <c r="C348" s="690"/>
      <c r="D348" s="152">
        <v>28686</v>
      </c>
      <c r="E348" s="182">
        <v>23804</v>
      </c>
      <c r="F348" s="154">
        <f t="shared" si="176"/>
        <v>1.2050915812468492</v>
      </c>
      <c r="G348" s="655">
        <v>23732</v>
      </c>
      <c r="H348" s="155">
        <v>19944</v>
      </c>
      <c r="I348" s="156">
        <f t="shared" si="172"/>
        <v>0.82730251690720213</v>
      </c>
      <c r="J348" s="156">
        <f t="shared" si="174"/>
        <v>0.83784237943202822</v>
      </c>
      <c r="K348" s="155">
        <v>15011</v>
      </c>
      <c r="L348" s="155">
        <v>13462</v>
      </c>
      <c r="M348" s="156">
        <f t="shared" si="173"/>
        <v>0.63060830112586119</v>
      </c>
      <c r="N348" s="157">
        <f t="shared" si="175"/>
        <v>0.75265744083433617</v>
      </c>
      <c r="V348" s="8"/>
      <c r="W348" s="8"/>
      <c r="X348" s="8"/>
      <c r="Y348" s="8"/>
    </row>
    <row r="349" spans="1:25" ht="12.75" customHeight="1" x14ac:dyDescent="0.2">
      <c r="A349" s="687"/>
      <c r="B349" s="691" t="s">
        <v>49</v>
      </c>
      <c r="C349" s="158" t="s">
        <v>51</v>
      </c>
      <c r="D349" s="159">
        <v>27482</v>
      </c>
      <c r="E349" s="183">
        <v>22393</v>
      </c>
      <c r="F349" s="161">
        <f t="shared" si="176"/>
        <v>1.2272585182869646</v>
      </c>
      <c r="G349" s="653">
        <v>22782</v>
      </c>
      <c r="H349" s="162">
        <v>19332</v>
      </c>
      <c r="I349" s="163">
        <f t="shared" si="172"/>
        <v>0.8289789680518157</v>
      </c>
      <c r="J349" s="163">
        <f t="shared" si="174"/>
        <v>0.86330549725360606</v>
      </c>
      <c r="K349" s="162">
        <v>14497</v>
      </c>
      <c r="L349" s="162">
        <v>12968</v>
      </c>
      <c r="M349" s="163">
        <f t="shared" si="173"/>
        <v>0.64738980931541101</v>
      </c>
      <c r="N349" s="164">
        <f t="shared" si="175"/>
        <v>0.74989654458928201</v>
      </c>
      <c r="V349" s="8"/>
      <c r="W349" s="8"/>
      <c r="X349" s="8"/>
      <c r="Y349" s="8"/>
    </row>
    <row r="350" spans="1:25" ht="12.75" customHeight="1" thickBot="1" x14ac:dyDescent="0.25">
      <c r="A350" s="688"/>
      <c r="B350" s="693"/>
      <c r="C350" s="185" t="s">
        <v>52</v>
      </c>
      <c r="D350" s="186">
        <v>1204</v>
      </c>
      <c r="E350" s="187">
        <v>937</v>
      </c>
      <c r="F350" s="188">
        <f t="shared" si="176"/>
        <v>1.2849519743863393</v>
      </c>
      <c r="G350" s="656">
        <v>950</v>
      </c>
      <c r="H350" s="189">
        <v>802</v>
      </c>
      <c r="I350" s="190">
        <f t="shared" si="172"/>
        <v>0.78903654485049834</v>
      </c>
      <c r="J350" s="190">
        <f t="shared" si="174"/>
        <v>0.85592315901814298</v>
      </c>
      <c r="K350" s="189">
        <v>566</v>
      </c>
      <c r="L350" s="189">
        <v>509</v>
      </c>
      <c r="M350" s="190">
        <f t="shared" si="173"/>
        <v>0.60405549626467447</v>
      </c>
      <c r="N350" s="191">
        <f t="shared" si="175"/>
        <v>0.70573566084788031</v>
      </c>
      <c r="V350" s="8"/>
      <c r="W350" s="8"/>
      <c r="X350" s="8"/>
      <c r="Y350" s="8"/>
    </row>
    <row r="351" spans="1:25" ht="12.75" customHeight="1" thickTop="1" thickBot="1" x14ac:dyDescent="0.25">
      <c r="A351" s="705" t="s">
        <v>590</v>
      </c>
      <c r="B351" s="706"/>
      <c r="C351" s="706"/>
      <c r="D351" s="706"/>
      <c r="E351" s="706"/>
      <c r="F351" s="706"/>
      <c r="G351" s="706"/>
      <c r="H351" s="706"/>
      <c r="I351" s="706"/>
      <c r="J351" s="706"/>
      <c r="K351" s="706"/>
      <c r="L351" s="706"/>
      <c r="M351" s="706"/>
      <c r="N351" s="707"/>
      <c r="V351" s="8"/>
      <c r="W351" s="8"/>
      <c r="X351" s="8"/>
      <c r="Y351" s="8"/>
    </row>
    <row r="352" spans="1:25" ht="12.75" customHeight="1" x14ac:dyDescent="0.2">
      <c r="A352" s="180" t="s">
        <v>48</v>
      </c>
      <c r="B352" s="145"/>
      <c r="C352" s="145"/>
      <c r="D352" s="146">
        <v>201016</v>
      </c>
      <c r="E352" s="181">
        <v>91222</v>
      </c>
      <c r="F352" s="148">
        <f>D352/E352</f>
        <v>2.2035912389555152</v>
      </c>
      <c r="G352" s="651">
        <v>173487</v>
      </c>
      <c r="H352" s="149">
        <v>84912</v>
      </c>
      <c r="I352" s="150">
        <f t="shared" ref="I352:I358" si="177">G352/D352</f>
        <v>0.86305070243164728</v>
      </c>
      <c r="J352" s="150">
        <f>+H352/E352</f>
        <v>0.93082808971520026</v>
      </c>
      <c r="K352" s="149">
        <v>70161</v>
      </c>
      <c r="L352" s="149">
        <v>65888</v>
      </c>
      <c r="M352" s="150">
        <f t="shared" ref="M352:M358" si="178">+K352/E352</f>
        <v>0.76912367630615419</v>
      </c>
      <c r="N352" s="151">
        <f>K352/H352</f>
        <v>0.82627897117015259</v>
      </c>
      <c r="V352" s="8"/>
      <c r="W352" s="8"/>
      <c r="X352" s="8"/>
      <c r="Y352" s="8"/>
    </row>
    <row r="353" spans="1:25" ht="12.75" customHeight="1" x14ac:dyDescent="0.2">
      <c r="A353" s="686" t="s">
        <v>49</v>
      </c>
      <c r="B353" s="689" t="s">
        <v>50</v>
      </c>
      <c r="C353" s="690"/>
      <c r="D353" s="152">
        <v>173158</v>
      </c>
      <c r="E353" s="182">
        <v>72160</v>
      </c>
      <c r="F353" s="154">
        <f>D353/E353</f>
        <v>2.3996396895787138</v>
      </c>
      <c r="G353" s="652">
        <v>150077</v>
      </c>
      <c r="H353" s="155">
        <v>67948</v>
      </c>
      <c r="I353" s="156">
        <f t="shared" si="177"/>
        <v>0.86670555215467959</v>
      </c>
      <c r="J353" s="156">
        <f t="shared" ref="J353:J358" si="179">+H353/E353</f>
        <v>0.94162971175166299</v>
      </c>
      <c r="K353" s="155">
        <v>56257</v>
      </c>
      <c r="L353" s="155">
        <v>52899</v>
      </c>
      <c r="M353" s="156">
        <f t="shared" si="178"/>
        <v>0.77961474501108652</v>
      </c>
      <c r="N353" s="157">
        <f t="shared" ref="N353:N358" si="180">K353/H353</f>
        <v>0.8279419556131159</v>
      </c>
      <c r="V353" s="8"/>
      <c r="W353" s="8"/>
      <c r="X353" s="8"/>
      <c r="Y353" s="8"/>
    </row>
    <row r="354" spans="1:25" ht="12.75" customHeight="1" x14ac:dyDescent="0.2">
      <c r="A354" s="687"/>
      <c r="B354" s="691" t="s">
        <v>49</v>
      </c>
      <c r="C354" s="158" t="s">
        <v>51</v>
      </c>
      <c r="D354" s="159">
        <v>145018</v>
      </c>
      <c r="E354" s="183">
        <v>68177</v>
      </c>
      <c r="F354" s="161">
        <f t="shared" ref="F354:F358" si="181">D354/E354</f>
        <v>2.1270809803892807</v>
      </c>
      <c r="G354" s="653">
        <v>126604</v>
      </c>
      <c r="H354" s="162">
        <v>64161</v>
      </c>
      <c r="I354" s="163">
        <f t="shared" si="177"/>
        <v>0.87302265925609235</v>
      </c>
      <c r="J354" s="163">
        <f t="shared" si="179"/>
        <v>0.94109450401161687</v>
      </c>
      <c r="K354" s="162">
        <v>53175</v>
      </c>
      <c r="L354" s="162">
        <v>48210</v>
      </c>
      <c r="M354" s="163">
        <f t="shared" si="178"/>
        <v>0.77995511682825591</v>
      </c>
      <c r="N354" s="164">
        <f t="shared" si="180"/>
        <v>0.82877448917566743</v>
      </c>
      <c r="V354" s="8"/>
      <c r="W354" s="8"/>
      <c r="X354" s="8"/>
      <c r="Y354" s="8"/>
    </row>
    <row r="355" spans="1:25" ht="12.75" customHeight="1" x14ac:dyDescent="0.2">
      <c r="A355" s="687"/>
      <c r="B355" s="692"/>
      <c r="C355" s="165" t="s">
        <v>52</v>
      </c>
      <c r="D355" s="166">
        <v>28140</v>
      </c>
      <c r="E355" s="184">
        <v>13049</v>
      </c>
      <c r="F355" s="168">
        <f t="shared" si="181"/>
        <v>2.1564870871331134</v>
      </c>
      <c r="G355" s="654">
        <v>23473</v>
      </c>
      <c r="H355" s="169">
        <v>11725</v>
      </c>
      <c r="I355" s="170">
        <f t="shared" si="177"/>
        <v>0.83415067519545127</v>
      </c>
      <c r="J355" s="170">
        <f t="shared" si="179"/>
        <v>0.898536286305464</v>
      </c>
      <c r="K355" s="169">
        <v>5699</v>
      </c>
      <c r="L355" s="169">
        <v>5081</v>
      </c>
      <c r="M355" s="170">
        <f t="shared" si="178"/>
        <v>0.43673844739060463</v>
      </c>
      <c r="N355" s="171">
        <f t="shared" si="180"/>
        <v>0.48605543710021321</v>
      </c>
      <c r="V355" s="8"/>
      <c r="W355" s="8"/>
      <c r="X355" s="8"/>
      <c r="Y355" s="8"/>
    </row>
    <row r="356" spans="1:25" ht="12.75" customHeight="1" x14ac:dyDescent="0.2">
      <c r="A356" s="687"/>
      <c r="B356" s="689" t="s">
        <v>53</v>
      </c>
      <c r="C356" s="690"/>
      <c r="D356" s="152">
        <v>27858</v>
      </c>
      <c r="E356" s="182">
        <v>22293</v>
      </c>
      <c r="F356" s="154">
        <f t="shared" si="181"/>
        <v>1.2496299286771633</v>
      </c>
      <c r="G356" s="655">
        <v>23410</v>
      </c>
      <c r="H356" s="155">
        <v>19472</v>
      </c>
      <c r="I356" s="156">
        <f t="shared" si="177"/>
        <v>0.84033311795534493</v>
      </c>
      <c r="J356" s="156">
        <f t="shared" si="179"/>
        <v>0.87345803615484685</v>
      </c>
      <c r="K356" s="155">
        <v>14978</v>
      </c>
      <c r="L356" s="155">
        <v>13300</v>
      </c>
      <c r="M356" s="156">
        <f t="shared" si="178"/>
        <v>0.67187009375140183</v>
      </c>
      <c r="N356" s="157">
        <f t="shared" si="180"/>
        <v>0.76920706655710769</v>
      </c>
      <c r="V356" s="8"/>
      <c r="W356" s="8"/>
      <c r="X356" s="8"/>
      <c r="Y356" s="8"/>
    </row>
    <row r="357" spans="1:25" ht="12.75" customHeight="1" x14ac:dyDescent="0.2">
      <c r="A357" s="687"/>
      <c r="B357" s="691" t="s">
        <v>49</v>
      </c>
      <c r="C357" s="158" t="s">
        <v>51</v>
      </c>
      <c r="D357" s="159">
        <v>26561</v>
      </c>
      <c r="E357" s="183">
        <v>21560</v>
      </c>
      <c r="F357" s="161">
        <f t="shared" si="181"/>
        <v>1.2319573283858998</v>
      </c>
      <c r="G357" s="653">
        <v>22331</v>
      </c>
      <c r="H357" s="162">
        <v>18823</v>
      </c>
      <c r="I357" s="163">
        <f t="shared" si="177"/>
        <v>0.84074394789352813</v>
      </c>
      <c r="J357" s="163">
        <f t="shared" si="179"/>
        <v>0.87305194805194808</v>
      </c>
      <c r="K357" s="162">
        <v>14518</v>
      </c>
      <c r="L357" s="162">
        <v>12846</v>
      </c>
      <c r="M357" s="163">
        <f t="shared" si="178"/>
        <v>0.67337662337662341</v>
      </c>
      <c r="N357" s="164">
        <f t="shared" si="180"/>
        <v>0.7712904425436965</v>
      </c>
      <c r="V357" s="8"/>
      <c r="W357" s="8"/>
      <c r="X357" s="8"/>
      <c r="Y357" s="8"/>
    </row>
    <row r="358" spans="1:25" ht="12.75" customHeight="1" thickBot="1" x14ac:dyDescent="0.25">
      <c r="A358" s="688"/>
      <c r="B358" s="693"/>
      <c r="C358" s="185" t="s">
        <v>52</v>
      </c>
      <c r="D358" s="186">
        <v>1297</v>
      </c>
      <c r="E358" s="187">
        <v>988</v>
      </c>
      <c r="F358" s="188">
        <f t="shared" si="181"/>
        <v>1.3127530364372471</v>
      </c>
      <c r="G358" s="656">
        <v>1079</v>
      </c>
      <c r="H358" s="189">
        <v>837</v>
      </c>
      <c r="I358" s="190">
        <f t="shared" si="177"/>
        <v>0.83191981495759448</v>
      </c>
      <c r="J358" s="190">
        <f t="shared" si="179"/>
        <v>0.84716599190283404</v>
      </c>
      <c r="K358" s="189">
        <v>507</v>
      </c>
      <c r="L358" s="189">
        <v>459</v>
      </c>
      <c r="M358" s="190">
        <f t="shared" si="178"/>
        <v>0.51315789473684215</v>
      </c>
      <c r="N358" s="191">
        <f t="shared" si="180"/>
        <v>0.60573476702508966</v>
      </c>
      <c r="V358" s="8"/>
      <c r="W358" s="8"/>
      <c r="X358" s="8"/>
      <c r="Y358" s="8"/>
    </row>
    <row r="359" spans="1:25" ht="12.75" customHeight="1" thickTop="1" thickBot="1" x14ac:dyDescent="0.25">
      <c r="A359" s="682" t="s">
        <v>593</v>
      </c>
      <c r="B359" s="683"/>
      <c r="C359" s="683"/>
      <c r="D359" s="683"/>
      <c r="E359" s="683"/>
      <c r="F359" s="683"/>
      <c r="G359" s="683"/>
      <c r="H359" s="683"/>
      <c r="I359" s="683"/>
      <c r="J359" s="683"/>
      <c r="K359" s="683"/>
      <c r="L359" s="683"/>
      <c r="M359" s="683"/>
      <c r="N359" s="694"/>
      <c r="V359" s="8"/>
      <c r="W359" s="8"/>
      <c r="X359" s="8"/>
      <c r="Y359" s="8"/>
    </row>
    <row r="360" spans="1:25" ht="12.75" customHeight="1" x14ac:dyDescent="0.2">
      <c r="A360" s="180" t="s">
        <v>48</v>
      </c>
      <c r="B360" s="145"/>
      <c r="C360" s="145"/>
      <c r="D360" s="146">
        <v>201827</v>
      </c>
      <c r="E360" s="181">
        <v>92752</v>
      </c>
      <c r="F360" s="148">
        <f>D360/E360</f>
        <v>2.175985423494911</v>
      </c>
      <c r="G360" s="651">
        <v>181255</v>
      </c>
      <c r="H360" s="149">
        <v>88822</v>
      </c>
      <c r="I360" s="150">
        <f t="shared" ref="I360:I366" si="182">G360/D360</f>
        <v>0.89807112031591407</v>
      </c>
      <c r="J360" s="150">
        <f>+H360/E360</f>
        <v>0.95762894600655513</v>
      </c>
      <c r="K360" s="149">
        <v>73368</v>
      </c>
      <c r="L360" s="149">
        <v>69488</v>
      </c>
      <c r="M360" s="150">
        <f t="shared" ref="M360:M366" si="183">+K360/E360</f>
        <v>0.79101259272037261</v>
      </c>
      <c r="N360" s="151">
        <f>K360/H360</f>
        <v>0.82601157370921618</v>
      </c>
      <c r="V360" s="8"/>
      <c r="W360" s="8"/>
      <c r="X360" s="8"/>
      <c r="Y360" s="8"/>
    </row>
    <row r="361" spans="1:25" ht="12.75" customHeight="1" x14ac:dyDescent="0.2">
      <c r="A361" s="686" t="s">
        <v>49</v>
      </c>
      <c r="B361" s="689" t="s">
        <v>50</v>
      </c>
      <c r="C361" s="690"/>
      <c r="D361" s="152">
        <v>173900</v>
      </c>
      <c r="E361" s="182">
        <v>73290</v>
      </c>
      <c r="F361" s="154">
        <f>D361/E361</f>
        <v>2.3727657252012553</v>
      </c>
      <c r="G361" s="652">
        <v>155935</v>
      </c>
      <c r="H361" s="155">
        <v>70418</v>
      </c>
      <c r="I361" s="156">
        <f t="shared" si="182"/>
        <v>0.89669350201265097</v>
      </c>
      <c r="J361" s="156">
        <f t="shared" ref="J361:J366" si="184">+H361/E361</f>
        <v>0.96081320780461177</v>
      </c>
      <c r="K361" s="155">
        <v>58609</v>
      </c>
      <c r="L361" s="155">
        <v>55505</v>
      </c>
      <c r="M361" s="156">
        <f t="shared" si="183"/>
        <v>0.7996861781962068</v>
      </c>
      <c r="N361" s="157">
        <f t="shared" ref="N361:N366" si="185">K361/H361</f>
        <v>0.83230140021017351</v>
      </c>
      <c r="V361" s="8"/>
      <c r="W361" s="8"/>
      <c r="X361" s="8"/>
      <c r="Y361" s="8"/>
    </row>
    <row r="362" spans="1:25" ht="12.75" customHeight="1" x14ac:dyDescent="0.2">
      <c r="A362" s="687"/>
      <c r="B362" s="691" t="s">
        <v>49</v>
      </c>
      <c r="C362" s="158" t="s">
        <v>51</v>
      </c>
      <c r="D362" s="159">
        <v>146931</v>
      </c>
      <c r="E362" s="183">
        <v>69530</v>
      </c>
      <c r="F362" s="161">
        <f t="shared" ref="F362:F366" si="186">D362/E362</f>
        <v>2.1132029339853302</v>
      </c>
      <c r="G362" s="653">
        <v>132172</v>
      </c>
      <c r="H362" s="162">
        <v>66728</v>
      </c>
      <c r="I362" s="163">
        <f t="shared" si="182"/>
        <v>0.89955149015524294</v>
      </c>
      <c r="J362" s="163">
        <f t="shared" si="184"/>
        <v>0.95970084855458071</v>
      </c>
      <c r="K362" s="162">
        <v>55528</v>
      </c>
      <c r="L362" s="162">
        <v>50882</v>
      </c>
      <c r="M362" s="163">
        <f t="shared" si="183"/>
        <v>0.79861930102114198</v>
      </c>
      <c r="N362" s="164">
        <f t="shared" si="185"/>
        <v>0.83215441793549938</v>
      </c>
      <c r="V362" s="8"/>
      <c r="W362" s="8"/>
      <c r="X362" s="8"/>
      <c r="Y362" s="8"/>
    </row>
    <row r="363" spans="1:25" ht="12.75" customHeight="1" x14ac:dyDescent="0.2">
      <c r="A363" s="687"/>
      <c r="B363" s="692"/>
      <c r="C363" s="165" t="s">
        <v>52</v>
      </c>
      <c r="D363" s="166">
        <v>26969</v>
      </c>
      <c r="E363" s="184">
        <v>12472</v>
      </c>
      <c r="F363" s="168">
        <f t="shared" si="186"/>
        <v>2.1623636946760745</v>
      </c>
      <c r="G363" s="654">
        <v>23763</v>
      </c>
      <c r="H363" s="169">
        <v>11523</v>
      </c>
      <c r="I363" s="170">
        <f t="shared" si="182"/>
        <v>0.88112277058845345</v>
      </c>
      <c r="J363" s="170">
        <f t="shared" si="184"/>
        <v>0.92390955740859526</v>
      </c>
      <c r="K363" s="169">
        <v>5605</v>
      </c>
      <c r="L363" s="169">
        <v>5037</v>
      </c>
      <c r="M363" s="170">
        <f t="shared" si="183"/>
        <v>0.44940667094291215</v>
      </c>
      <c r="N363" s="171">
        <f t="shared" si="185"/>
        <v>0.4864184674130001</v>
      </c>
      <c r="V363" s="8"/>
      <c r="W363" s="8"/>
      <c r="X363" s="8"/>
      <c r="Y363" s="8"/>
    </row>
    <row r="364" spans="1:25" ht="12.75" customHeight="1" thickBot="1" x14ac:dyDescent="0.25">
      <c r="A364" s="687"/>
      <c r="B364" s="689" t="s">
        <v>53</v>
      </c>
      <c r="C364" s="690"/>
      <c r="D364" s="152">
        <v>27927</v>
      </c>
      <c r="E364" s="182">
        <v>22700</v>
      </c>
      <c r="F364" s="154">
        <f t="shared" si="186"/>
        <v>1.2302643171806167</v>
      </c>
      <c r="G364" s="655">
        <v>25320</v>
      </c>
      <c r="H364" s="155">
        <v>21168</v>
      </c>
      <c r="I364" s="156">
        <f t="shared" si="182"/>
        <v>0.90664947899881831</v>
      </c>
      <c r="J364" s="156">
        <f t="shared" si="184"/>
        <v>0.93251101321585905</v>
      </c>
      <c r="K364" s="155">
        <v>15943</v>
      </c>
      <c r="L364" s="155">
        <v>14331</v>
      </c>
      <c r="M364" s="156">
        <f t="shared" si="183"/>
        <v>0.70233480176211449</v>
      </c>
      <c r="N364" s="157">
        <f t="shared" si="185"/>
        <v>0.75316515495086922</v>
      </c>
      <c r="V364" s="8"/>
      <c r="W364" s="8"/>
      <c r="X364" s="8"/>
      <c r="Y364" s="8"/>
    </row>
    <row r="365" spans="1:25" ht="12.75" customHeight="1" thickTop="1" x14ac:dyDescent="0.2">
      <c r="A365" s="687"/>
      <c r="B365" s="691" t="s">
        <v>49</v>
      </c>
      <c r="C365" s="158" t="s">
        <v>51</v>
      </c>
      <c r="D365" s="159">
        <v>26782</v>
      </c>
      <c r="E365" s="183">
        <v>22047</v>
      </c>
      <c r="F365" s="161">
        <f t="shared" si="186"/>
        <v>1.2147684492221165</v>
      </c>
      <c r="G365" s="653">
        <v>24334</v>
      </c>
      <c r="H365" s="162">
        <v>20565</v>
      </c>
      <c r="I365" s="163">
        <f t="shared" si="182"/>
        <v>0.90859532521843034</v>
      </c>
      <c r="J365" s="163">
        <f t="shared" si="184"/>
        <v>0.9327799700639543</v>
      </c>
      <c r="K365" s="162">
        <v>15533</v>
      </c>
      <c r="L365" s="162">
        <v>13905</v>
      </c>
      <c r="M365" s="163">
        <f t="shared" si="183"/>
        <v>0.70454030026761005</v>
      </c>
      <c r="N365" s="164">
        <f t="shared" si="185"/>
        <v>0.75531242402139553</v>
      </c>
      <c r="O365" s="695" t="s">
        <v>597</v>
      </c>
      <c r="P365" s="698" t="s">
        <v>598</v>
      </c>
      <c r="V365" s="8"/>
      <c r="W365" s="8"/>
      <c r="X365" s="8"/>
      <c r="Y365" s="8"/>
    </row>
    <row r="366" spans="1:25" ht="12.75" customHeight="1" thickBot="1" x14ac:dyDescent="0.25">
      <c r="A366" s="688"/>
      <c r="B366" s="693"/>
      <c r="C366" s="185" t="s">
        <v>52</v>
      </c>
      <c r="D366" s="186">
        <v>1145</v>
      </c>
      <c r="E366" s="187">
        <v>919</v>
      </c>
      <c r="F366" s="188">
        <f t="shared" si="186"/>
        <v>1.2459194776931448</v>
      </c>
      <c r="G366" s="656">
        <v>986</v>
      </c>
      <c r="H366" s="189">
        <v>825</v>
      </c>
      <c r="I366" s="190">
        <f t="shared" si="182"/>
        <v>0.86113537117903927</v>
      </c>
      <c r="J366" s="190">
        <f t="shared" si="184"/>
        <v>0.89771490750816108</v>
      </c>
      <c r="K366" s="189">
        <v>472</v>
      </c>
      <c r="L366" s="189">
        <v>432</v>
      </c>
      <c r="M366" s="190">
        <f t="shared" si="183"/>
        <v>0.51360174102285094</v>
      </c>
      <c r="N366" s="191">
        <f t="shared" si="185"/>
        <v>0.57212121212121214</v>
      </c>
      <c r="O366" s="696"/>
      <c r="P366" s="699"/>
      <c r="V366" s="8"/>
      <c r="W366" s="8"/>
      <c r="X366" s="8"/>
      <c r="Y366" s="8"/>
    </row>
    <row r="367" spans="1:25" ht="12.75" customHeight="1" thickTop="1" thickBot="1" x14ac:dyDescent="0.25">
      <c r="A367" s="682" t="s">
        <v>596</v>
      </c>
      <c r="B367" s="683"/>
      <c r="C367" s="683"/>
      <c r="D367" s="683"/>
      <c r="E367" s="683"/>
      <c r="F367" s="683"/>
      <c r="G367" s="683"/>
      <c r="H367" s="683"/>
      <c r="I367" s="683"/>
      <c r="J367" s="683"/>
      <c r="K367" s="683"/>
      <c r="L367" s="683"/>
      <c r="M367" s="683"/>
      <c r="N367" s="694"/>
      <c r="O367" s="697"/>
      <c r="P367" s="700"/>
      <c r="V367" s="8"/>
      <c r="W367" s="8"/>
      <c r="X367" s="8"/>
      <c r="Y367" s="8"/>
    </row>
    <row r="368" spans="1:25" ht="12.75" customHeight="1" x14ac:dyDescent="0.2">
      <c r="A368" s="180" t="s">
        <v>48</v>
      </c>
      <c r="B368" s="145"/>
      <c r="C368" s="145"/>
      <c r="D368" s="146">
        <v>217772</v>
      </c>
      <c r="E368" s="181">
        <v>95979</v>
      </c>
      <c r="F368" s="148">
        <f>D368/E368</f>
        <v>2.268954667166776</v>
      </c>
      <c r="G368" s="651">
        <v>192180</v>
      </c>
      <c r="H368" s="149">
        <v>90884</v>
      </c>
      <c r="I368" s="150">
        <f t="shared" ref="I368:I374" si="187">G368/D368</f>
        <v>0.88248259647704941</v>
      </c>
      <c r="J368" s="150">
        <f>+H368/E368</f>
        <v>0.94691547109263485</v>
      </c>
      <c r="K368" s="149">
        <v>72204</v>
      </c>
      <c r="L368" s="149">
        <v>68309</v>
      </c>
      <c r="M368" s="150">
        <f t="shared" ref="M368:M374" si="188">+K368/E368</f>
        <v>0.75228956334198105</v>
      </c>
      <c r="N368" s="151">
        <f>K368/H368</f>
        <v>0.79446327186303423</v>
      </c>
      <c r="O368" s="150">
        <f>74686/E368</f>
        <v>0.77814938684503898</v>
      </c>
      <c r="P368" s="151">
        <f>74686/H368</f>
        <v>0.82177280929536556</v>
      </c>
      <c r="V368" s="8"/>
      <c r="W368" s="8"/>
      <c r="X368" s="8"/>
      <c r="Y368" s="8"/>
    </row>
    <row r="369" spans="1:25" ht="12.75" customHeight="1" x14ac:dyDescent="0.2">
      <c r="A369" s="686" t="s">
        <v>49</v>
      </c>
      <c r="B369" s="689" t="s">
        <v>50</v>
      </c>
      <c r="C369" s="690"/>
      <c r="D369" s="152">
        <v>185806</v>
      </c>
      <c r="E369" s="182">
        <v>74556</v>
      </c>
      <c r="F369" s="154">
        <f>D369/E369</f>
        <v>2.4921669617468747</v>
      </c>
      <c r="G369" s="652">
        <v>163676</v>
      </c>
      <c r="H369" s="155">
        <v>71262</v>
      </c>
      <c r="I369" s="156">
        <f t="shared" si="187"/>
        <v>0.88089727995866651</v>
      </c>
      <c r="J369" s="156">
        <f t="shared" ref="J369:J374" si="189">+H369/E369</f>
        <v>0.9558184451955577</v>
      </c>
      <c r="K369" s="155">
        <v>57782</v>
      </c>
      <c r="L369" s="155">
        <v>54954</v>
      </c>
      <c r="M369" s="156">
        <f t="shared" si="188"/>
        <v>0.77501475401040831</v>
      </c>
      <c r="N369" s="157">
        <f t="shared" ref="N369:N374" si="190">K369/H369</f>
        <v>0.81083887625943696</v>
      </c>
      <c r="O369" s="156">
        <f>59611/E369</f>
        <v>0.79954664949836363</v>
      </c>
      <c r="P369" s="157">
        <f>59611/H369</f>
        <v>0.83650472902809347</v>
      </c>
      <c r="V369" s="8"/>
      <c r="W369" s="8"/>
      <c r="X369" s="8"/>
      <c r="Y369" s="8"/>
    </row>
    <row r="370" spans="1:25" ht="12.75" customHeight="1" x14ac:dyDescent="0.2">
      <c r="A370" s="687"/>
      <c r="B370" s="691" t="s">
        <v>49</v>
      </c>
      <c r="C370" s="158" t="s">
        <v>51</v>
      </c>
      <c r="D370" s="159">
        <v>156331</v>
      </c>
      <c r="E370" s="183">
        <v>70553</v>
      </c>
      <c r="F370" s="161">
        <f t="shared" ref="F370:F374" si="191">D370/E370</f>
        <v>2.2157952177795415</v>
      </c>
      <c r="G370" s="653">
        <v>139570</v>
      </c>
      <c r="H370" s="162">
        <v>67371</v>
      </c>
      <c r="I370" s="163">
        <f t="shared" si="187"/>
        <v>0.89278518016260366</v>
      </c>
      <c r="J370" s="163">
        <f t="shared" si="189"/>
        <v>0.95489915382761892</v>
      </c>
      <c r="K370" s="162">
        <v>54122</v>
      </c>
      <c r="L370" s="162">
        <v>50139</v>
      </c>
      <c r="M370" s="163">
        <f t="shared" si="188"/>
        <v>0.76711124969880795</v>
      </c>
      <c r="N370" s="164">
        <f t="shared" si="190"/>
        <v>0.80334268453785751</v>
      </c>
      <c r="O370" s="163">
        <f>56605/E370</f>
        <v>0.80230465040466037</v>
      </c>
      <c r="P370" s="164">
        <f>56605/H370</f>
        <v>0.84019830490864023</v>
      </c>
      <c r="V370" s="8"/>
      <c r="W370" s="8"/>
      <c r="X370" s="8"/>
      <c r="Y370" s="8"/>
    </row>
    <row r="371" spans="1:25" ht="12.75" customHeight="1" x14ac:dyDescent="0.2">
      <c r="A371" s="687"/>
      <c r="B371" s="692"/>
      <c r="C371" s="165" t="s">
        <v>52</v>
      </c>
      <c r="D371" s="166">
        <v>28755</v>
      </c>
      <c r="E371" s="184">
        <v>13123</v>
      </c>
      <c r="F371" s="168">
        <f t="shared" si="191"/>
        <v>2.1911910386344586</v>
      </c>
      <c r="G371" s="654">
        <v>24106</v>
      </c>
      <c r="H371" s="169">
        <v>11865</v>
      </c>
      <c r="I371" s="170">
        <f t="shared" si="187"/>
        <v>0.83832376977916889</v>
      </c>
      <c r="J371" s="170">
        <f t="shared" si="189"/>
        <v>0.90413777337499046</v>
      </c>
      <c r="K371" s="169">
        <v>5698</v>
      </c>
      <c r="L371" s="169">
        <v>5201</v>
      </c>
      <c r="M371" s="170">
        <f t="shared" si="188"/>
        <v>0.43419949706621963</v>
      </c>
      <c r="N371" s="171">
        <f t="shared" si="190"/>
        <v>0.48023598820058999</v>
      </c>
      <c r="O371" s="170">
        <f>5960/E371</f>
        <v>0.45416444410576851</v>
      </c>
      <c r="P371" s="171">
        <f>5960/H371</f>
        <v>0.50231774125579431</v>
      </c>
      <c r="V371" s="8"/>
      <c r="W371" s="8"/>
      <c r="X371" s="8"/>
      <c r="Y371" s="8"/>
    </row>
    <row r="372" spans="1:25" ht="12.75" customHeight="1" x14ac:dyDescent="0.2">
      <c r="A372" s="687"/>
      <c r="B372" s="689" t="s">
        <v>53</v>
      </c>
      <c r="C372" s="690"/>
      <c r="D372" s="152">
        <v>32686</v>
      </c>
      <c r="E372" s="182">
        <v>25280</v>
      </c>
      <c r="F372" s="154">
        <f t="shared" si="191"/>
        <v>1.2929588607594937</v>
      </c>
      <c r="G372" s="655">
        <v>28504</v>
      </c>
      <c r="H372" s="155">
        <v>22798</v>
      </c>
      <c r="I372" s="156">
        <f t="shared" si="187"/>
        <v>0.87205531420179894</v>
      </c>
      <c r="J372" s="156">
        <f t="shared" si="189"/>
        <v>0.90181962025316453</v>
      </c>
      <c r="K372" s="155">
        <v>15724</v>
      </c>
      <c r="L372" s="155">
        <v>13675</v>
      </c>
      <c r="M372" s="156">
        <f t="shared" si="188"/>
        <v>0.62199367088607593</v>
      </c>
      <c r="N372" s="157">
        <f t="shared" si="190"/>
        <v>0.68970962365119748</v>
      </c>
      <c r="O372" s="156">
        <f>16697/E372</f>
        <v>0.66048259493670891</v>
      </c>
      <c r="P372" s="157">
        <f>16697/H372</f>
        <v>0.73238880603561718</v>
      </c>
      <c r="V372" s="8"/>
      <c r="W372" s="8"/>
      <c r="X372" s="8"/>
      <c r="Y372" s="8"/>
    </row>
    <row r="373" spans="1:25" ht="12.75" customHeight="1" x14ac:dyDescent="0.2">
      <c r="A373" s="687"/>
      <c r="B373" s="691" t="s">
        <v>49</v>
      </c>
      <c r="C373" s="158" t="s">
        <v>51</v>
      </c>
      <c r="D373" s="159">
        <v>30960</v>
      </c>
      <c r="E373" s="183">
        <v>24359</v>
      </c>
      <c r="F373" s="161">
        <f t="shared" si="191"/>
        <v>1.2709881358019623</v>
      </c>
      <c r="G373" s="653">
        <v>27049</v>
      </c>
      <c r="H373" s="162">
        <v>21994</v>
      </c>
      <c r="I373" s="163">
        <f t="shared" si="187"/>
        <v>0.87367571059431526</v>
      </c>
      <c r="J373" s="163">
        <f t="shared" si="189"/>
        <v>0.90291062851512793</v>
      </c>
      <c r="K373" s="162">
        <v>15328</v>
      </c>
      <c r="L373" s="162">
        <v>13264</v>
      </c>
      <c r="M373" s="163">
        <f t="shared" si="188"/>
        <v>0.6292540744693953</v>
      </c>
      <c r="N373" s="164">
        <f t="shared" si="190"/>
        <v>0.69691734109302539</v>
      </c>
      <c r="O373" s="163">
        <f>16292/E373</f>
        <v>0.66882876965392668</v>
      </c>
      <c r="P373" s="164">
        <f>16292/H373</f>
        <v>0.740747476584523</v>
      </c>
      <c r="V373" s="8"/>
      <c r="W373" s="8"/>
      <c r="X373" s="8"/>
      <c r="Y373" s="8"/>
    </row>
    <row r="374" spans="1:25" ht="12.75" customHeight="1" thickBot="1" x14ac:dyDescent="0.25">
      <c r="A374" s="688"/>
      <c r="B374" s="693"/>
      <c r="C374" s="185" t="s">
        <v>52</v>
      </c>
      <c r="D374" s="186">
        <v>1726</v>
      </c>
      <c r="E374" s="187">
        <v>1340</v>
      </c>
      <c r="F374" s="188">
        <f t="shared" si="191"/>
        <v>1.2880597014925372</v>
      </c>
      <c r="G374" s="656">
        <v>1455</v>
      </c>
      <c r="H374" s="189">
        <v>1154</v>
      </c>
      <c r="I374" s="190">
        <f t="shared" si="187"/>
        <v>0.84298957126303597</v>
      </c>
      <c r="J374" s="190">
        <f t="shared" si="189"/>
        <v>0.86119402985074622</v>
      </c>
      <c r="K374" s="189">
        <v>475</v>
      </c>
      <c r="L374" s="189">
        <v>423</v>
      </c>
      <c r="M374" s="190">
        <f t="shared" si="188"/>
        <v>0.35447761194029853</v>
      </c>
      <c r="N374" s="191">
        <f t="shared" si="190"/>
        <v>0.41161178509532065</v>
      </c>
      <c r="O374" s="190">
        <f>501/E374</f>
        <v>0.37388059701492538</v>
      </c>
      <c r="P374" s="191">
        <f>501/H374</f>
        <v>0.4341421143847487</v>
      </c>
      <c r="V374" s="8"/>
      <c r="W374" s="8"/>
      <c r="X374" s="8"/>
      <c r="Y374" s="8"/>
    </row>
    <row r="375" spans="1:25" ht="12.75" customHeight="1" thickTop="1" thickBot="1" x14ac:dyDescent="0.25">
      <c r="A375" s="682" t="s">
        <v>603</v>
      </c>
      <c r="B375" s="683"/>
      <c r="C375" s="683"/>
      <c r="D375" s="683"/>
      <c r="E375" s="683"/>
      <c r="F375" s="683"/>
      <c r="G375" s="683"/>
      <c r="H375" s="683"/>
      <c r="I375" s="683"/>
      <c r="J375" s="683"/>
      <c r="K375" s="683"/>
      <c r="L375" s="683"/>
      <c r="M375" s="683"/>
      <c r="N375" s="683"/>
      <c r="O375" s="684"/>
      <c r="P375" s="685"/>
      <c r="V375" s="8"/>
      <c r="W375" s="8"/>
      <c r="X375" s="8"/>
      <c r="Y375" s="8"/>
    </row>
    <row r="376" spans="1:25" ht="12.75" customHeight="1" x14ac:dyDescent="0.2">
      <c r="A376" s="180" t="s">
        <v>48</v>
      </c>
      <c r="B376" s="145"/>
      <c r="C376" s="145"/>
      <c r="D376" s="146">
        <v>220843</v>
      </c>
      <c r="E376" s="181">
        <v>94351</v>
      </c>
      <c r="F376" s="148">
        <f>D376/E376</f>
        <v>2.3406535171858276</v>
      </c>
      <c r="G376" s="651">
        <v>189330</v>
      </c>
      <c r="H376" s="149">
        <v>81760</v>
      </c>
      <c r="I376" s="150">
        <f t="shared" ref="I376:I382" si="192">G376/D376</f>
        <v>0.85730586887517379</v>
      </c>
      <c r="J376" s="150">
        <f>+H376/E376</f>
        <v>0.86655149388983688</v>
      </c>
      <c r="K376" s="149">
        <v>68482</v>
      </c>
      <c r="L376" s="149">
        <v>65492</v>
      </c>
      <c r="M376" s="150">
        <f t="shared" ref="M376:M382" si="193">+K376/E376</f>
        <v>0.72582166590709163</v>
      </c>
      <c r="N376" s="151">
        <f>K376/H376</f>
        <v>0.83759784735812137</v>
      </c>
      <c r="O376" s="150">
        <v>0.75148110000000001</v>
      </c>
      <c r="P376" s="151">
        <v>0.86720889999999995</v>
      </c>
      <c r="V376" s="8"/>
      <c r="W376" s="8"/>
      <c r="X376" s="8"/>
      <c r="Y376" s="8"/>
    </row>
    <row r="377" spans="1:25" ht="12.75" customHeight="1" x14ac:dyDescent="0.2">
      <c r="A377" s="686" t="s">
        <v>49</v>
      </c>
      <c r="B377" s="689" t="s">
        <v>50</v>
      </c>
      <c r="C377" s="690"/>
      <c r="D377" s="152">
        <v>192161</v>
      </c>
      <c r="E377" s="182">
        <v>76059</v>
      </c>
      <c r="F377" s="154">
        <f>D377/E377</f>
        <v>2.5264728697458554</v>
      </c>
      <c r="G377" s="652">
        <v>165842</v>
      </c>
      <c r="H377" s="155">
        <v>66509</v>
      </c>
      <c r="I377" s="156">
        <f t="shared" si="192"/>
        <v>0.86303672441338253</v>
      </c>
      <c r="J377" s="156">
        <f t="shared" ref="J377:J382" si="194">+H377/E377</f>
        <v>0.87443957979989217</v>
      </c>
      <c r="K377" s="155">
        <v>56540</v>
      </c>
      <c r="L377" s="155">
        <v>54104</v>
      </c>
      <c r="M377" s="156">
        <f t="shared" si="193"/>
        <v>0.74337027833655456</v>
      </c>
      <c r="N377" s="157">
        <f t="shared" ref="N377:N382" si="195">K377/H377</f>
        <v>0.85011051135936488</v>
      </c>
      <c r="O377" s="156">
        <v>0.76735160000000002</v>
      </c>
      <c r="P377" s="157">
        <v>0.87753530000000002</v>
      </c>
      <c r="V377" s="8"/>
      <c r="W377" s="8"/>
      <c r="X377" s="8"/>
      <c r="Y377" s="8"/>
    </row>
    <row r="378" spans="1:25" ht="12.75" customHeight="1" x14ac:dyDescent="0.2">
      <c r="A378" s="687"/>
      <c r="B378" s="691" t="s">
        <v>49</v>
      </c>
      <c r="C378" s="158" t="s">
        <v>51</v>
      </c>
      <c r="D378" s="159">
        <v>163340</v>
      </c>
      <c r="E378" s="183">
        <v>72282</v>
      </c>
      <c r="F378" s="161">
        <f t="shared" ref="F378:F382" si="196">D378/E378</f>
        <v>2.2597603829445783</v>
      </c>
      <c r="G378" s="653">
        <v>141551</v>
      </c>
      <c r="H378" s="162">
        <v>63598</v>
      </c>
      <c r="I378" s="163">
        <f t="shared" si="192"/>
        <v>0.86660340394269619</v>
      </c>
      <c r="J378" s="163">
        <f t="shared" si="194"/>
        <v>0.87985943941783573</v>
      </c>
      <c r="K378" s="162">
        <v>52801</v>
      </c>
      <c r="L378" s="162">
        <v>49284</v>
      </c>
      <c r="M378" s="163">
        <f t="shared" si="193"/>
        <v>0.73048615146232809</v>
      </c>
      <c r="N378" s="164">
        <f t="shared" si="195"/>
        <v>0.83023051039340856</v>
      </c>
      <c r="O378" s="163">
        <v>0.76414590000000004</v>
      </c>
      <c r="P378" s="164">
        <v>0.86848639999999999</v>
      </c>
      <c r="V378" s="8"/>
      <c r="W378" s="8"/>
      <c r="X378" s="8"/>
      <c r="Y378" s="8"/>
    </row>
    <row r="379" spans="1:25" ht="12.75" customHeight="1" x14ac:dyDescent="0.2">
      <c r="A379" s="687"/>
      <c r="B379" s="692"/>
      <c r="C379" s="165" t="s">
        <v>52</v>
      </c>
      <c r="D379" s="166">
        <v>28821</v>
      </c>
      <c r="E379" s="184">
        <v>12972</v>
      </c>
      <c r="F379" s="168">
        <f t="shared" si="196"/>
        <v>2.2217853839037929</v>
      </c>
      <c r="G379" s="654">
        <v>24291</v>
      </c>
      <c r="H379" s="169">
        <v>10801</v>
      </c>
      <c r="I379" s="170">
        <f t="shared" si="192"/>
        <v>0.84282294160507965</v>
      </c>
      <c r="J379" s="170">
        <f t="shared" si="194"/>
        <v>0.83263953129818069</v>
      </c>
      <c r="K379" s="169">
        <v>5725</v>
      </c>
      <c r="L379" s="169">
        <v>5242</v>
      </c>
      <c r="M379" s="170">
        <f t="shared" si="193"/>
        <v>0.44133518347209372</v>
      </c>
      <c r="N379" s="171">
        <f t="shared" si="195"/>
        <v>0.53004351448939913</v>
      </c>
      <c r="O379" s="170">
        <v>0.4595282</v>
      </c>
      <c r="P379" s="171">
        <v>0.55189330000000003</v>
      </c>
      <c r="V379" s="8"/>
      <c r="W379" s="8"/>
      <c r="X379" s="8"/>
      <c r="Y379" s="8"/>
    </row>
    <row r="380" spans="1:25" ht="12.75" customHeight="1" x14ac:dyDescent="0.2">
      <c r="A380" s="687"/>
      <c r="B380" s="689" t="s">
        <v>53</v>
      </c>
      <c r="C380" s="690"/>
      <c r="D380" s="152">
        <v>28682</v>
      </c>
      <c r="E380" s="182">
        <v>22291</v>
      </c>
      <c r="F380" s="154">
        <f t="shared" si="196"/>
        <v>1.2867076398546498</v>
      </c>
      <c r="G380" s="655">
        <v>23488</v>
      </c>
      <c r="H380" s="155">
        <v>18468</v>
      </c>
      <c r="I380" s="156">
        <f t="shared" si="192"/>
        <v>0.81891081514538733</v>
      </c>
      <c r="J380" s="156">
        <f t="shared" si="194"/>
        <v>0.82849580548203305</v>
      </c>
      <c r="K380" s="155">
        <v>13135</v>
      </c>
      <c r="L380" s="155">
        <v>11704</v>
      </c>
      <c r="M380" s="156">
        <f t="shared" si="193"/>
        <v>0.58925126732762101</v>
      </c>
      <c r="N380" s="157">
        <f t="shared" si="195"/>
        <v>0.71123023608403724</v>
      </c>
      <c r="O380" s="156">
        <v>0.63173469999999998</v>
      </c>
      <c r="P380" s="157">
        <v>0.76250810000000002</v>
      </c>
      <c r="V380" s="8"/>
      <c r="W380" s="8"/>
      <c r="X380" s="8"/>
      <c r="Y380" s="8"/>
    </row>
    <row r="381" spans="1:25" ht="12.75" customHeight="1" x14ac:dyDescent="0.2">
      <c r="A381" s="687"/>
      <c r="B381" s="691" t="s">
        <v>49</v>
      </c>
      <c r="C381" s="158" t="s">
        <v>51</v>
      </c>
      <c r="D381" s="159">
        <v>26828</v>
      </c>
      <c r="E381" s="183">
        <v>21305</v>
      </c>
      <c r="F381" s="161">
        <f t="shared" si="196"/>
        <v>1.2592349213799579</v>
      </c>
      <c r="G381" s="653">
        <v>22048</v>
      </c>
      <c r="H381" s="162">
        <v>17689</v>
      </c>
      <c r="I381" s="163">
        <f t="shared" si="192"/>
        <v>0.8218279409572089</v>
      </c>
      <c r="J381" s="163">
        <f t="shared" si="194"/>
        <v>0.83027458343111948</v>
      </c>
      <c r="K381" s="162">
        <v>12663</v>
      </c>
      <c r="L381" s="162">
        <v>11229</v>
      </c>
      <c r="M381" s="163">
        <f t="shared" si="193"/>
        <v>0.59436751936165222</v>
      </c>
      <c r="N381" s="164">
        <f t="shared" si="195"/>
        <v>0.7158686189157103</v>
      </c>
      <c r="O381" s="163">
        <v>0.63834780000000002</v>
      </c>
      <c r="P381" s="164">
        <v>0.76109459999999995</v>
      </c>
      <c r="V381" s="8"/>
      <c r="W381" s="8"/>
      <c r="X381" s="8"/>
      <c r="Y381" s="8"/>
    </row>
    <row r="382" spans="1:25" ht="12.75" customHeight="1" thickBot="1" x14ac:dyDescent="0.25">
      <c r="A382" s="688"/>
      <c r="B382" s="693"/>
      <c r="C382" s="185" t="s">
        <v>52</v>
      </c>
      <c r="D382" s="186">
        <v>1804</v>
      </c>
      <c r="E382" s="187">
        <v>1370</v>
      </c>
      <c r="F382" s="188">
        <f t="shared" si="196"/>
        <v>1.3167883211678832</v>
      </c>
      <c r="G382" s="656">
        <v>1440</v>
      </c>
      <c r="H382" s="189">
        <v>1078</v>
      </c>
      <c r="I382" s="190">
        <f t="shared" si="192"/>
        <v>0.79822616407982261</v>
      </c>
      <c r="J382" s="190">
        <f t="shared" si="194"/>
        <v>0.78686131386861313</v>
      </c>
      <c r="K382" s="189">
        <v>526</v>
      </c>
      <c r="L382" s="189">
        <v>485</v>
      </c>
      <c r="M382" s="190">
        <f t="shared" si="193"/>
        <v>0.38394160583941606</v>
      </c>
      <c r="N382" s="191">
        <f t="shared" si="195"/>
        <v>0.48794063079777367</v>
      </c>
      <c r="O382" s="190">
        <v>0.40510940000000001</v>
      </c>
      <c r="P382" s="191">
        <v>0.51484229999999997</v>
      </c>
      <c r="V382" s="8"/>
      <c r="W382" s="8"/>
      <c r="X382" s="8"/>
      <c r="Y382" s="8"/>
    </row>
    <row r="383" spans="1:25" ht="12.75" customHeight="1" thickTop="1" thickBot="1" x14ac:dyDescent="0.25">
      <c r="A383" s="682" t="s">
        <v>606</v>
      </c>
      <c r="B383" s="683"/>
      <c r="C383" s="683"/>
      <c r="D383" s="683"/>
      <c r="E383" s="683"/>
      <c r="F383" s="683"/>
      <c r="G383" s="683"/>
      <c r="H383" s="683"/>
      <c r="I383" s="683"/>
      <c r="J383" s="683"/>
      <c r="K383" s="683"/>
      <c r="L383" s="683"/>
      <c r="M383" s="683"/>
      <c r="N383" s="683"/>
      <c r="O383" s="684"/>
      <c r="P383" s="685"/>
      <c r="V383" s="8"/>
      <c r="W383" s="8"/>
      <c r="X383" s="8"/>
      <c r="Y383" s="8"/>
    </row>
    <row r="384" spans="1:25" ht="12.75" customHeight="1" x14ac:dyDescent="0.2">
      <c r="A384" s="180" t="s">
        <v>48</v>
      </c>
      <c r="B384" s="145"/>
      <c r="C384" s="145"/>
      <c r="D384" s="146">
        <v>236871</v>
      </c>
      <c r="E384" s="181">
        <v>98718</v>
      </c>
      <c r="F384" s="148">
        <f>D384/E384</f>
        <v>2.3994712210539113</v>
      </c>
      <c r="G384" s="651">
        <v>204425</v>
      </c>
      <c r="H384" s="149">
        <v>91950</v>
      </c>
      <c r="I384" s="150">
        <f t="shared" ref="I384:I390" si="197">G384/D384</f>
        <v>0.8630224890341156</v>
      </c>
      <c r="J384" s="150">
        <f>+H384/E384</f>
        <v>0.93144107457606518</v>
      </c>
      <c r="K384" s="149">
        <v>71655</v>
      </c>
      <c r="L384" s="149">
        <v>68677</v>
      </c>
      <c r="M384" s="150">
        <f t="shared" ref="M384:M390" si="198">+K384/E384</f>
        <v>0.72585546708806903</v>
      </c>
      <c r="N384" s="151">
        <f>K384/H384</f>
        <v>0.77928221859706359</v>
      </c>
      <c r="O384" s="150">
        <f>75037/E384</f>
        <v>0.76011467007030131</v>
      </c>
      <c r="P384" s="151">
        <f>75037/H384</f>
        <v>0.81606307775965203</v>
      </c>
      <c r="V384" s="8"/>
      <c r="W384" s="8"/>
      <c r="X384" s="8"/>
      <c r="Y384" s="8"/>
    </row>
    <row r="385" spans="1:25" ht="12.75" customHeight="1" x14ac:dyDescent="0.2">
      <c r="A385" s="686" t="s">
        <v>49</v>
      </c>
      <c r="B385" s="689" t="s">
        <v>50</v>
      </c>
      <c r="C385" s="690"/>
      <c r="D385" s="152">
        <v>206609</v>
      </c>
      <c r="E385" s="182">
        <v>79782</v>
      </c>
      <c r="F385" s="154">
        <f>D385/E385</f>
        <v>2.5896693489759595</v>
      </c>
      <c r="G385" s="652">
        <v>179381</v>
      </c>
      <c r="H385" s="155">
        <v>75298</v>
      </c>
      <c r="I385" s="156">
        <f t="shared" si="197"/>
        <v>0.868214840592617</v>
      </c>
      <c r="J385" s="156">
        <f t="shared" ref="J385:J390" si="199">+H385/E385</f>
        <v>0.94379684640645756</v>
      </c>
      <c r="K385" s="155">
        <v>59393</v>
      </c>
      <c r="L385" s="155">
        <v>56946</v>
      </c>
      <c r="M385" s="156">
        <f t="shared" si="198"/>
        <v>0.7444411020029581</v>
      </c>
      <c r="N385" s="157">
        <f t="shared" ref="N385:N390" si="200">K385/H385</f>
        <v>0.7887726101622885</v>
      </c>
      <c r="O385" s="156">
        <f>62105/E385</f>
        <v>0.77843373191948062</v>
      </c>
      <c r="P385" s="157">
        <f>62105/H385</f>
        <v>0.82478950304124943</v>
      </c>
      <c r="V385" s="8"/>
      <c r="W385" s="8"/>
      <c r="X385" s="8"/>
      <c r="Y385" s="8"/>
    </row>
    <row r="386" spans="1:25" ht="12.75" customHeight="1" x14ac:dyDescent="0.2">
      <c r="A386" s="687"/>
      <c r="B386" s="691" t="s">
        <v>49</v>
      </c>
      <c r="C386" s="158" t="s">
        <v>51</v>
      </c>
      <c r="D386" s="159">
        <v>175728</v>
      </c>
      <c r="E386" s="183">
        <v>75630</v>
      </c>
      <c r="F386" s="161">
        <f t="shared" ref="F386:F390" si="201">D386/E386</f>
        <v>2.3235224117413726</v>
      </c>
      <c r="G386" s="653">
        <v>152791</v>
      </c>
      <c r="H386" s="162">
        <v>71195</v>
      </c>
      <c r="I386" s="163">
        <f t="shared" si="197"/>
        <v>0.86947441500500777</v>
      </c>
      <c r="J386" s="163">
        <f t="shared" si="199"/>
        <v>0.94135924897527434</v>
      </c>
      <c r="K386" s="162">
        <v>55509</v>
      </c>
      <c r="L386" s="162">
        <v>51857</v>
      </c>
      <c r="M386" s="163">
        <f t="shared" si="198"/>
        <v>0.73395477984926616</v>
      </c>
      <c r="N386" s="164">
        <f t="shared" si="200"/>
        <v>0.77967553901257114</v>
      </c>
      <c r="O386" s="163">
        <f>59043/E386</f>
        <v>0.78068226894089643</v>
      </c>
      <c r="P386" s="164">
        <f>59043/H386</f>
        <v>0.8293138563101341</v>
      </c>
      <c r="V386" s="8"/>
      <c r="W386" s="8"/>
      <c r="X386" s="8"/>
      <c r="Y386" s="8"/>
    </row>
    <row r="387" spans="1:25" ht="12.75" customHeight="1" x14ac:dyDescent="0.2">
      <c r="A387" s="687"/>
      <c r="B387" s="692"/>
      <c r="C387" s="165" t="s">
        <v>52</v>
      </c>
      <c r="D387" s="166">
        <v>30881</v>
      </c>
      <c r="E387" s="184">
        <v>13973</v>
      </c>
      <c r="F387" s="168">
        <f t="shared" si="201"/>
        <v>2.2100479496171186</v>
      </c>
      <c r="G387" s="654">
        <v>26590</v>
      </c>
      <c r="H387" s="169">
        <v>12691</v>
      </c>
      <c r="I387" s="170">
        <f t="shared" si="197"/>
        <v>0.86104724587934334</v>
      </c>
      <c r="J387" s="170">
        <f t="shared" si="199"/>
        <v>0.90825162813998428</v>
      </c>
      <c r="K387" s="169">
        <v>5884</v>
      </c>
      <c r="L387" s="169">
        <v>5481</v>
      </c>
      <c r="M387" s="170">
        <f t="shared" si="198"/>
        <v>0.42109783153224073</v>
      </c>
      <c r="N387" s="171">
        <f t="shared" si="200"/>
        <v>0.46363564730911672</v>
      </c>
      <c r="O387" s="170">
        <f>6294/E387</f>
        <v>0.45044013454519433</v>
      </c>
      <c r="P387" s="171">
        <f>6294/H387</f>
        <v>0.4959420061460878</v>
      </c>
      <c r="V387" s="8"/>
      <c r="W387" s="8"/>
      <c r="X387" s="8"/>
      <c r="Y387" s="8"/>
    </row>
    <row r="388" spans="1:25" ht="12.75" customHeight="1" x14ac:dyDescent="0.2">
      <c r="A388" s="687"/>
      <c r="B388" s="689" t="s">
        <v>53</v>
      </c>
      <c r="C388" s="690"/>
      <c r="D388" s="152">
        <v>30262</v>
      </c>
      <c r="E388" s="182">
        <v>23305</v>
      </c>
      <c r="F388" s="154">
        <f t="shared" si="201"/>
        <v>1.2985196309804763</v>
      </c>
      <c r="G388" s="655">
        <v>25044</v>
      </c>
      <c r="H388" s="155">
        <v>20058</v>
      </c>
      <c r="I388" s="156">
        <f t="shared" si="197"/>
        <v>0.82757253320996627</v>
      </c>
      <c r="J388" s="156">
        <f t="shared" si="199"/>
        <v>0.86067367517700066</v>
      </c>
      <c r="K388" s="155">
        <v>13512</v>
      </c>
      <c r="L388" s="155">
        <v>12098</v>
      </c>
      <c r="M388" s="156">
        <f t="shared" si="198"/>
        <v>0.57978974468998068</v>
      </c>
      <c r="N388" s="157">
        <f t="shared" si="200"/>
        <v>0.67364642536643737</v>
      </c>
      <c r="O388" s="156">
        <f>14571/E388</f>
        <v>0.62523063720231709</v>
      </c>
      <c r="P388" s="157">
        <f>14571/H388</f>
        <v>0.72644331438827403</v>
      </c>
      <c r="V388" s="8"/>
      <c r="W388" s="8"/>
      <c r="X388" s="8"/>
      <c r="Y388" s="8"/>
    </row>
    <row r="389" spans="1:25" ht="12.75" customHeight="1" x14ac:dyDescent="0.2">
      <c r="A389" s="687"/>
      <c r="B389" s="691" t="s">
        <v>49</v>
      </c>
      <c r="C389" s="158" t="s">
        <v>51</v>
      </c>
      <c r="D389" s="159">
        <v>28285</v>
      </c>
      <c r="E389" s="162">
        <v>22238</v>
      </c>
      <c r="F389" s="161">
        <f t="shared" si="201"/>
        <v>1.2719219354258477</v>
      </c>
      <c r="G389" s="653">
        <v>23455</v>
      </c>
      <c r="H389" s="162">
        <v>19147</v>
      </c>
      <c r="I389" s="163">
        <f t="shared" si="197"/>
        <v>0.82923811207353726</v>
      </c>
      <c r="J389" s="163">
        <f t="shared" si="199"/>
        <v>0.86100368738195876</v>
      </c>
      <c r="K389" s="162">
        <v>13037</v>
      </c>
      <c r="L389" s="162">
        <v>11620</v>
      </c>
      <c r="M389" s="163">
        <f t="shared" si="198"/>
        <v>0.58624876337800158</v>
      </c>
      <c r="N389" s="164">
        <f t="shared" si="200"/>
        <v>0.68088995665117247</v>
      </c>
      <c r="O389" s="163">
        <f>14080/E389</f>
        <v>0.63315046317114854</v>
      </c>
      <c r="P389" s="164">
        <f>14080/H389</f>
        <v>0.73536324228338645</v>
      </c>
      <c r="V389" s="8"/>
      <c r="W389" s="8"/>
      <c r="X389" s="8"/>
      <c r="Y389" s="8"/>
    </row>
    <row r="390" spans="1:25" ht="12.75" customHeight="1" thickBot="1" x14ac:dyDescent="0.25">
      <c r="A390" s="688"/>
      <c r="B390" s="693"/>
      <c r="C390" s="185" t="s">
        <v>52</v>
      </c>
      <c r="D390" s="186">
        <v>1977</v>
      </c>
      <c r="E390" s="189">
        <v>1505</v>
      </c>
      <c r="F390" s="188">
        <f t="shared" si="201"/>
        <v>1.3136212624584718</v>
      </c>
      <c r="G390" s="656">
        <v>1589</v>
      </c>
      <c r="H390" s="189">
        <v>1240</v>
      </c>
      <c r="I390" s="190">
        <f t="shared" si="197"/>
        <v>0.80374304501770355</v>
      </c>
      <c r="J390" s="190">
        <f t="shared" si="199"/>
        <v>0.82392026578073085</v>
      </c>
      <c r="K390" s="189">
        <v>546</v>
      </c>
      <c r="L390" s="189">
        <v>492</v>
      </c>
      <c r="M390" s="190">
        <f t="shared" si="198"/>
        <v>0.36279069767441863</v>
      </c>
      <c r="N390" s="191">
        <f t="shared" si="200"/>
        <v>0.44032258064516128</v>
      </c>
      <c r="O390" s="190">
        <f>580/E390</f>
        <v>0.38538205980066448</v>
      </c>
      <c r="P390" s="191">
        <f>580/H390</f>
        <v>0.46774193548387094</v>
      </c>
      <c r="V390" s="8"/>
      <c r="W390" s="8"/>
      <c r="X390" s="8"/>
      <c r="Y390" s="8"/>
    </row>
    <row r="391" spans="1:25" ht="12.75" customHeight="1" thickTop="1" thickBot="1" x14ac:dyDescent="0.25">
      <c r="A391" s="682" t="s">
        <v>611</v>
      </c>
      <c r="B391" s="683"/>
      <c r="C391" s="683"/>
      <c r="D391" s="683"/>
      <c r="E391" s="683"/>
      <c r="F391" s="683"/>
      <c r="G391" s="683"/>
      <c r="H391" s="683"/>
      <c r="I391" s="683"/>
      <c r="J391" s="683"/>
      <c r="K391" s="683"/>
      <c r="L391" s="683"/>
      <c r="M391" s="683"/>
      <c r="N391" s="683"/>
      <c r="O391" s="684"/>
      <c r="P391" s="685"/>
      <c r="V391" s="8"/>
      <c r="W391" s="8"/>
      <c r="X391" s="8"/>
      <c r="Y391" s="8"/>
    </row>
    <row r="392" spans="1:25" ht="12.75" customHeight="1" x14ac:dyDescent="0.2">
      <c r="A392" s="180" t="s">
        <v>48</v>
      </c>
      <c r="B392" s="145"/>
      <c r="C392" s="145"/>
      <c r="D392" s="146">
        <v>245706</v>
      </c>
      <c r="E392" s="181">
        <v>100974</v>
      </c>
      <c r="F392" s="148">
        <f>D392/E392</f>
        <v>2.4333590825360982</v>
      </c>
      <c r="G392" s="651">
        <v>211397</v>
      </c>
      <c r="H392" s="149">
        <v>93927</v>
      </c>
      <c r="I392" s="150">
        <f t="shared" ref="I392:I398" si="202">G392/D392</f>
        <v>0.8603656402367057</v>
      </c>
      <c r="J392" s="150">
        <f>+H392/E392</f>
        <v>0.93020975696714003</v>
      </c>
      <c r="K392" s="149">
        <v>73653</v>
      </c>
      <c r="L392" s="149">
        <v>70497</v>
      </c>
      <c r="M392" s="150">
        <f t="shared" ref="M392:M398" si="203">+K392/E392</f>
        <v>0.72942539663675798</v>
      </c>
      <c r="N392" s="151">
        <f>K392/H392</f>
        <v>0.78415152192660253</v>
      </c>
      <c r="O392" s="150">
        <f>76584/E392</f>
        <v>0.75845267098460989</v>
      </c>
      <c r="P392" s="151">
        <f>76584/H392</f>
        <v>0.81535660672650034</v>
      </c>
      <c r="V392" s="8"/>
      <c r="W392" s="8"/>
      <c r="X392" s="8"/>
      <c r="Y392" s="8"/>
    </row>
    <row r="393" spans="1:25" ht="12.75" customHeight="1" x14ac:dyDescent="0.2">
      <c r="A393" s="686" t="s">
        <v>49</v>
      </c>
      <c r="B393" s="689" t="s">
        <v>50</v>
      </c>
      <c r="C393" s="690"/>
      <c r="D393" s="152">
        <v>215479</v>
      </c>
      <c r="E393" s="182">
        <v>82904</v>
      </c>
      <c r="F393" s="154">
        <f>D393/E393</f>
        <v>2.5991387629064944</v>
      </c>
      <c r="G393" s="652">
        <v>186438</v>
      </c>
      <c r="H393" s="162">
        <v>72159</v>
      </c>
      <c r="I393" s="156">
        <f t="shared" si="202"/>
        <v>0.86522584567405636</v>
      </c>
      <c r="J393" s="156">
        <f t="shared" ref="J393:J398" si="204">+H393/E393</f>
        <v>0.87039226092830257</v>
      </c>
      <c r="K393" s="155">
        <v>61848</v>
      </c>
      <c r="L393" s="155">
        <v>56946</v>
      </c>
      <c r="M393" s="156">
        <f t="shared" si="203"/>
        <v>0.74601949242497345</v>
      </c>
      <c r="N393" s="157">
        <f t="shared" ref="N393:N398" si="205">K393/H393</f>
        <v>0.85710722155240515</v>
      </c>
      <c r="O393" s="156">
        <f>64299/E393</f>
        <v>0.77558380777767055</v>
      </c>
      <c r="P393" s="157">
        <f>64299/H393</f>
        <v>0.89107387851827213</v>
      </c>
      <c r="V393" s="8"/>
      <c r="W393" s="8"/>
      <c r="X393" s="8"/>
      <c r="Y393" s="8"/>
    </row>
    <row r="394" spans="1:25" ht="12.75" customHeight="1" x14ac:dyDescent="0.2">
      <c r="A394" s="687"/>
      <c r="B394" s="691" t="s">
        <v>49</v>
      </c>
      <c r="C394" s="158" t="s">
        <v>51</v>
      </c>
      <c r="D394" s="159">
        <v>181944</v>
      </c>
      <c r="E394" s="183">
        <v>78395</v>
      </c>
      <c r="F394" s="161">
        <f t="shared" ref="F394:F398" si="206">D394/E394</f>
        <v>2.3208622998915747</v>
      </c>
      <c r="G394" s="653">
        <v>157288</v>
      </c>
      <c r="H394" s="162">
        <v>68205</v>
      </c>
      <c r="I394" s="163">
        <f t="shared" si="202"/>
        <v>0.86448577584311659</v>
      </c>
      <c r="J394" s="163">
        <f t="shared" si="204"/>
        <v>0.87001722048600039</v>
      </c>
      <c r="K394" s="162">
        <v>57953</v>
      </c>
      <c r="L394" s="162">
        <v>51857</v>
      </c>
      <c r="M394" s="163">
        <f t="shared" si="203"/>
        <v>0.73924357420753872</v>
      </c>
      <c r="N394" s="164">
        <f t="shared" si="205"/>
        <v>0.84968843926398363</v>
      </c>
      <c r="O394" s="163">
        <f>61118/E394</f>
        <v>0.77961604694176923</v>
      </c>
      <c r="P394" s="164">
        <f>6118/H394</f>
        <v>8.9700168609339492E-2</v>
      </c>
      <c r="V394" s="8"/>
      <c r="W394" s="8"/>
      <c r="X394" s="8"/>
      <c r="Y394" s="8"/>
    </row>
    <row r="395" spans="1:25" ht="12.75" customHeight="1" x14ac:dyDescent="0.2">
      <c r="A395" s="687"/>
      <c r="B395" s="692"/>
      <c r="C395" s="165" t="s">
        <v>52</v>
      </c>
      <c r="D395" s="166">
        <v>33535</v>
      </c>
      <c r="E395" s="184">
        <v>14802</v>
      </c>
      <c r="F395" s="168">
        <f t="shared" si="206"/>
        <v>2.2655722199702741</v>
      </c>
      <c r="G395" s="654">
        <v>29150</v>
      </c>
      <c r="H395" s="169">
        <v>12877</v>
      </c>
      <c r="I395" s="170">
        <f t="shared" si="202"/>
        <v>0.86924109139704786</v>
      </c>
      <c r="J395" s="170">
        <f t="shared" si="204"/>
        <v>0.86995000675584377</v>
      </c>
      <c r="K395" s="169">
        <v>5989</v>
      </c>
      <c r="L395" s="169">
        <v>5481</v>
      </c>
      <c r="M395" s="170">
        <f t="shared" si="203"/>
        <v>0.4046074854749358</v>
      </c>
      <c r="N395" s="171">
        <f t="shared" si="205"/>
        <v>0.46509280111827289</v>
      </c>
      <c r="O395" s="170">
        <f>6271/E395</f>
        <v>0.4236589650047291</v>
      </c>
      <c r="P395" s="171">
        <f>6271/H395</f>
        <v>0.48699231187388364</v>
      </c>
      <c r="V395" s="8"/>
      <c r="W395" s="8"/>
      <c r="X395" s="8"/>
      <c r="Y395" s="8"/>
    </row>
    <row r="396" spans="1:25" ht="12.75" customHeight="1" x14ac:dyDescent="0.2">
      <c r="A396" s="687"/>
      <c r="B396" s="689" t="s">
        <v>53</v>
      </c>
      <c r="C396" s="690"/>
      <c r="D396" s="152">
        <v>29789</v>
      </c>
      <c r="E396" s="182">
        <v>22968</v>
      </c>
      <c r="F396" s="154">
        <f t="shared" si="206"/>
        <v>1.2969784047370254</v>
      </c>
      <c r="G396" s="655">
        <v>24521</v>
      </c>
      <c r="H396" s="155">
        <v>19103</v>
      </c>
      <c r="I396" s="156">
        <f t="shared" si="202"/>
        <v>0.82315619859679745</v>
      </c>
      <c r="J396" s="156">
        <f t="shared" si="204"/>
        <v>0.83172239637756884</v>
      </c>
      <c r="K396" s="155">
        <v>13286</v>
      </c>
      <c r="L396" s="155">
        <v>12098</v>
      </c>
      <c r="M396" s="156">
        <f t="shared" si="203"/>
        <v>0.57845698362939746</v>
      </c>
      <c r="N396" s="157">
        <f t="shared" si="205"/>
        <v>0.69549285452546716</v>
      </c>
      <c r="O396" s="156">
        <f>14231/E396</f>
        <v>0.61960118425635669</v>
      </c>
      <c r="P396" s="157">
        <f>14231/H396</f>
        <v>0.74496152436790031</v>
      </c>
      <c r="V396" s="8"/>
      <c r="W396" s="8"/>
      <c r="X396" s="8"/>
      <c r="Y396" s="8"/>
    </row>
    <row r="397" spans="1:25" ht="12.75" customHeight="1" x14ac:dyDescent="0.2">
      <c r="A397" s="687"/>
      <c r="B397" s="691" t="s">
        <v>49</v>
      </c>
      <c r="C397" s="158" t="s">
        <v>51</v>
      </c>
      <c r="D397" s="159">
        <v>28063</v>
      </c>
      <c r="E397" s="162">
        <v>22075</v>
      </c>
      <c r="F397" s="161">
        <f t="shared" si="206"/>
        <v>1.2712570781426953</v>
      </c>
      <c r="G397" s="653">
        <v>23109</v>
      </c>
      <c r="H397" s="162">
        <v>18371</v>
      </c>
      <c r="I397" s="163">
        <f t="shared" si="202"/>
        <v>0.82346862416705269</v>
      </c>
      <c r="J397" s="163">
        <f t="shared" si="204"/>
        <v>0.83220838052095125</v>
      </c>
      <c r="K397" s="162">
        <v>12829</v>
      </c>
      <c r="L397" s="162">
        <v>11620</v>
      </c>
      <c r="M397" s="163">
        <f t="shared" si="203"/>
        <v>0.58115515288788222</v>
      </c>
      <c r="N397" s="164">
        <f t="shared" si="205"/>
        <v>0.69832888792118009</v>
      </c>
      <c r="O397" s="163">
        <f>13758/E397</f>
        <v>0.62323895809739527</v>
      </c>
      <c r="P397" s="164">
        <f>13758/H397</f>
        <v>0.74889771923139736</v>
      </c>
      <c r="V397" s="8"/>
      <c r="W397" s="8"/>
      <c r="X397" s="8"/>
      <c r="Y397" s="8"/>
    </row>
    <row r="398" spans="1:25" ht="12.75" customHeight="1" thickBot="1" x14ac:dyDescent="0.25">
      <c r="A398" s="688"/>
      <c r="B398" s="693"/>
      <c r="C398" s="185" t="s">
        <v>52</v>
      </c>
      <c r="D398" s="186">
        <v>1726</v>
      </c>
      <c r="E398" s="189">
        <v>1282</v>
      </c>
      <c r="F398" s="188">
        <f t="shared" si="206"/>
        <v>1.3463338533541342</v>
      </c>
      <c r="G398" s="656">
        <v>1412</v>
      </c>
      <c r="H398" s="189">
        <v>1046</v>
      </c>
      <c r="I398" s="190">
        <f t="shared" si="202"/>
        <v>0.81807647740440326</v>
      </c>
      <c r="J398" s="190">
        <f t="shared" si="204"/>
        <v>0.8159126365054602</v>
      </c>
      <c r="K398" s="189">
        <v>506</v>
      </c>
      <c r="L398" s="189">
        <v>492</v>
      </c>
      <c r="M398" s="190">
        <f t="shared" si="203"/>
        <v>0.39469578783151327</v>
      </c>
      <c r="N398" s="191">
        <f t="shared" si="205"/>
        <v>0.4837476099426386</v>
      </c>
      <c r="O398" s="190">
        <f>566/E398</f>
        <v>0.44149765990639628</v>
      </c>
      <c r="P398" s="191">
        <f>566/H398</f>
        <v>0.54110898661567874</v>
      </c>
      <c r="V398" s="8"/>
      <c r="W398" s="8"/>
      <c r="X398" s="8"/>
      <c r="Y398" s="8"/>
    </row>
    <row r="399" spans="1:25" ht="12.75" customHeight="1" thickTop="1" thickBot="1" x14ac:dyDescent="0.25">
      <c r="A399" s="682" t="s">
        <v>618</v>
      </c>
      <c r="B399" s="683"/>
      <c r="C399" s="683"/>
      <c r="D399" s="683"/>
      <c r="E399" s="683"/>
      <c r="F399" s="683"/>
      <c r="G399" s="683"/>
      <c r="H399" s="683"/>
      <c r="I399" s="683"/>
      <c r="J399" s="683"/>
      <c r="K399" s="683"/>
      <c r="L399" s="683"/>
      <c r="M399" s="683"/>
      <c r="N399" s="683"/>
      <c r="O399" s="684"/>
      <c r="P399" s="685"/>
      <c r="V399" s="8"/>
      <c r="W399" s="8"/>
      <c r="X399" s="8"/>
      <c r="Y399" s="8"/>
    </row>
    <row r="400" spans="1:25" ht="12.75" customHeight="1" x14ac:dyDescent="0.2">
      <c r="A400" s="180" t="s">
        <v>48</v>
      </c>
      <c r="B400" s="145"/>
      <c r="C400" s="145"/>
      <c r="D400" s="146">
        <v>260085</v>
      </c>
      <c r="E400" s="181">
        <v>105061</v>
      </c>
      <c r="F400" s="148">
        <f>D400/E400</f>
        <v>2.4755618164685278</v>
      </c>
      <c r="G400" s="651">
        <v>223158</v>
      </c>
      <c r="H400" s="149">
        <v>98117</v>
      </c>
      <c r="I400" s="150">
        <f t="shared" ref="I400:I406" si="207">G400/D400</f>
        <v>0.85801949362708341</v>
      </c>
      <c r="J400" s="150">
        <f>+H400/E400</f>
        <v>0.93390506467671164</v>
      </c>
      <c r="K400" s="149">
        <v>78412</v>
      </c>
      <c r="L400" s="149">
        <v>74977</v>
      </c>
      <c r="M400" s="150">
        <f t="shared" ref="M400:M406" si="208">+K400/E400</f>
        <v>0.74634736010508185</v>
      </c>
      <c r="N400" s="151">
        <f>K400/H400</f>
        <v>0.79916833983917157</v>
      </c>
      <c r="O400" s="150">
        <f>81803/E400</f>
        <v>0.77862384709835242</v>
      </c>
      <c r="P400" s="151">
        <f>81803/H400</f>
        <v>0.8337291193167341</v>
      </c>
      <c r="V400" s="8"/>
      <c r="W400" s="8"/>
      <c r="X400" s="8"/>
      <c r="Y400" s="8"/>
    </row>
    <row r="401" spans="1:25" ht="12.75" customHeight="1" x14ac:dyDescent="0.2">
      <c r="A401" s="686" t="s">
        <v>49</v>
      </c>
      <c r="B401" s="689" t="s">
        <v>50</v>
      </c>
      <c r="C401" s="690"/>
      <c r="D401" s="152">
        <v>230032</v>
      </c>
      <c r="E401" s="182">
        <v>87389</v>
      </c>
      <c r="F401" s="154">
        <f>D401/E401</f>
        <v>2.6322763734566137</v>
      </c>
      <c r="G401" s="652">
        <v>198061</v>
      </c>
      <c r="H401" s="162">
        <v>82704</v>
      </c>
      <c r="I401" s="156">
        <f t="shared" si="207"/>
        <v>0.8610149892188913</v>
      </c>
      <c r="J401" s="156">
        <f t="shared" ref="J401:J406" si="209">+H401/E401</f>
        <v>0.94638913364382249</v>
      </c>
      <c r="K401" s="155">
        <v>66294</v>
      </c>
      <c r="L401" s="155">
        <v>63364</v>
      </c>
      <c r="M401" s="156">
        <f t="shared" si="208"/>
        <v>0.75860806279966586</v>
      </c>
      <c r="N401" s="157">
        <f t="shared" ref="N401:N406" si="210">K401/H401</f>
        <v>0.80158154381892044</v>
      </c>
      <c r="O401" s="156">
        <f>69237/E401</f>
        <v>0.79228507020334371</v>
      </c>
      <c r="P401" s="157">
        <f>69237/H401</f>
        <v>0.83716627974463143</v>
      </c>
      <c r="V401" s="8"/>
      <c r="W401" s="8"/>
      <c r="X401" s="8"/>
      <c r="Y401" s="8"/>
    </row>
    <row r="402" spans="1:25" ht="12.75" customHeight="1" x14ac:dyDescent="0.2">
      <c r="A402" s="687"/>
      <c r="B402" s="691" t="s">
        <v>49</v>
      </c>
      <c r="C402" s="158" t="s">
        <v>51</v>
      </c>
      <c r="D402" s="159">
        <v>194570</v>
      </c>
      <c r="E402" s="183">
        <v>82787</v>
      </c>
      <c r="F402" s="161">
        <f t="shared" ref="F402:F406" si="211">D402/E402</f>
        <v>2.3502482273786947</v>
      </c>
      <c r="G402" s="653">
        <v>167813</v>
      </c>
      <c r="H402" s="162">
        <v>78088</v>
      </c>
      <c r="I402" s="163">
        <f t="shared" si="207"/>
        <v>0.8624813691730483</v>
      </c>
      <c r="J402" s="163">
        <f t="shared" si="209"/>
        <v>0.94323988065759112</v>
      </c>
      <c r="K402" s="162">
        <v>62422</v>
      </c>
      <c r="L402" s="162">
        <v>58194</v>
      </c>
      <c r="M402" s="163">
        <f t="shared" si="208"/>
        <v>0.75400727167308879</v>
      </c>
      <c r="N402" s="164">
        <f t="shared" si="210"/>
        <v>0.79938018645630571</v>
      </c>
      <c r="O402" s="163">
        <f>66091/E402</f>
        <v>0.79832582410281805</v>
      </c>
      <c r="P402" s="164">
        <f>66091/H402</f>
        <v>0.84636563876651982</v>
      </c>
      <c r="V402" s="8"/>
      <c r="W402" s="8"/>
      <c r="X402" s="8"/>
      <c r="Y402" s="8"/>
    </row>
    <row r="403" spans="1:25" ht="12.75" customHeight="1" x14ac:dyDescent="0.2">
      <c r="A403" s="687"/>
      <c r="B403" s="692"/>
      <c r="C403" s="165" t="s">
        <v>52</v>
      </c>
      <c r="D403" s="166">
        <v>35462</v>
      </c>
      <c r="E403" s="184">
        <v>15347</v>
      </c>
      <c r="F403" s="168">
        <f t="shared" si="211"/>
        <v>2.3106796116504853</v>
      </c>
      <c r="G403" s="654">
        <v>30648</v>
      </c>
      <c r="H403" s="169">
        <v>13999</v>
      </c>
      <c r="I403" s="170">
        <f t="shared" si="207"/>
        <v>0.86424905532682872</v>
      </c>
      <c r="J403" s="170">
        <f t="shared" si="209"/>
        <v>0.9121652440216329</v>
      </c>
      <c r="K403" s="169">
        <v>6090</v>
      </c>
      <c r="L403" s="169">
        <v>5624</v>
      </c>
      <c r="M403" s="170">
        <f t="shared" si="208"/>
        <v>0.39682022545122825</v>
      </c>
      <c r="N403" s="171">
        <f t="shared" si="210"/>
        <v>0.43503107364811772</v>
      </c>
      <c r="O403" s="170">
        <f>6503/E403</f>
        <v>0.42373102234964488</v>
      </c>
      <c r="P403" s="171">
        <f>6503/H403</f>
        <v>0.46453318094149582</v>
      </c>
      <c r="V403" s="8"/>
      <c r="W403" s="8"/>
      <c r="X403" s="8"/>
      <c r="Y403" s="8"/>
    </row>
    <row r="404" spans="1:25" ht="12.75" customHeight="1" x14ac:dyDescent="0.2">
      <c r="A404" s="687"/>
      <c r="B404" s="689" t="s">
        <v>53</v>
      </c>
      <c r="C404" s="690"/>
      <c r="D404" s="152">
        <v>30053</v>
      </c>
      <c r="E404" s="182">
        <v>23342</v>
      </c>
      <c r="F404" s="154">
        <f t="shared" si="211"/>
        <v>1.28750749721532</v>
      </c>
      <c r="G404" s="655">
        <v>24697</v>
      </c>
      <c r="H404" s="155">
        <v>19933</v>
      </c>
      <c r="I404" s="156">
        <f t="shared" si="207"/>
        <v>0.82178151931587529</v>
      </c>
      <c r="J404" s="156">
        <f t="shared" si="209"/>
        <v>0.85395424556593269</v>
      </c>
      <c r="K404" s="155">
        <v>13820</v>
      </c>
      <c r="L404" s="155">
        <v>12070</v>
      </c>
      <c r="M404" s="156">
        <f t="shared" si="208"/>
        <v>0.59206580412989462</v>
      </c>
      <c r="N404" s="157">
        <f t="shared" si="210"/>
        <v>0.69332263081322432</v>
      </c>
      <c r="O404" s="156">
        <f>14886/E404</f>
        <v>0.63773455573644078</v>
      </c>
      <c r="P404" s="157">
        <f>14886/H404</f>
        <v>0.74680178598304314</v>
      </c>
      <c r="V404" s="8"/>
      <c r="W404" s="8"/>
      <c r="X404" s="8"/>
      <c r="Y404" s="8"/>
    </row>
    <row r="405" spans="1:25" ht="12.75" customHeight="1" x14ac:dyDescent="0.2">
      <c r="A405" s="687"/>
      <c r="B405" s="691" t="s">
        <v>49</v>
      </c>
      <c r="C405" s="158" t="s">
        <v>51</v>
      </c>
      <c r="D405" s="159">
        <v>28328</v>
      </c>
      <c r="E405" s="162">
        <v>22386</v>
      </c>
      <c r="F405" s="161">
        <f t="shared" si="211"/>
        <v>1.2654337532386313</v>
      </c>
      <c r="G405" s="653">
        <v>23257</v>
      </c>
      <c r="H405" s="162">
        <v>19103</v>
      </c>
      <c r="I405" s="163">
        <f t="shared" si="207"/>
        <v>0.82098983338040099</v>
      </c>
      <c r="J405" s="163">
        <f t="shared" si="209"/>
        <v>0.85334584115071921</v>
      </c>
      <c r="K405" s="162">
        <v>13253</v>
      </c>
      <c r="L405" s="162">
        <v>11519</v>
      </c>
      <c r="M405" s="163">
        <f t="shared" si="208"/>
        <v>0.59202179933887256</v>
      </c>
      <c r="N405" s="164">
        <f t="shared" si="210"/>
        <v>0.69376537716589015</v>
      </c>
      <c r="O405" s="163">
        <f>14288/E405</f>
        <v>0.63825605289019927</v>
      </c>
      <c r="P405" s="164">
        <f>14288/H405</f>
        <v>0.74794534889807884</v>
      </c>
      <c r="V405" s="8"/>
      <c r="W405" s="8"/>
      <c r="X405" s="8"/>
      <c r="Y405" s="8"/>
    </row>
    <row r="406" spans="1:25" ht="12.75" customHeight="1" thickBot="1" x14ac:dyDescent="0.25">
      <c r="A406" s="688"/>
      <c r="B406" s="693"/>
      <c r="C406" s="185" t="s">
        <v>52</v>
      </c>
      <c r="D406" s="186">
        <v>1725</v>
      </c>
      <c r="E406" s="189">
        <v>1306</v>
      </c>
      <c r="F406" s="188">
        <f t="shared" si="211"/>
        <v>1.3208269525267995</v>
      </c>
      <c r="G406" s="656">
        <v>1440</v>
      </c>
      <c r="H406" s="189">
        <v>1111</v>
      </c>
      <c r="I406" s="190">
        <f t="shared" si="207"/>
        <v>0.83478260869565213</v>
      </c>
      <c r="J406" s="190">
        <f t="shared" si="209"/>
        <v>0.85068912710566613</v>
      </c>
      <c r="K406" s="189">
        <v>648</v>
      </c>
      <c r="L406" s="189">
        <v>568</v>
      </c>
      <c r="M406" s="190">
        <f t="shared" si="208"/>
        <v>0.49617151607963245</v>
      </c>
      <c r="N406" s="191">
        <f t="shared" si="210"/>
        <v>0.5832583258325833</v>
      </c>
      <c r="O406" s="190">
        <f>716/E406</f>
        <v>0.5482388973966309</v>
      </c>
      <c r="P406" s="191">
        <f>716/H406</f>
        <v>0.64446444644464451</v>
      </c>
      <c r="V406" s="8"/>
      <c r="W406" s="8"/>
      <c r="X406" s="8"/>
      <c r="Y406" s="8"/>
    </row>
    <row r="407" spans="1:25" ht="14.25" thickTop="1" thickBot="1" x14ac:dyDescent="0.25">
      <c r="A407" s="6" t="s">
        <v>55</v>
      </c>
      <c r="B407" s="134"/>
      <c r="C407" s="134"/>
      <c r="D407" s="134"/>
      <c r="E407" s="134"/>
      <c r="F407" s="134"/>
      <c r="G407" s="134"/>
      <c r="H407" s="134"/>
      <c r="I407" s="134"/>
      <c r="J407" s="134"/>
      <c r="K407" s="134"/>
      <c r="L407" s="134"/>
      <c r="V407" s="8"/>
      <c r="W407" s="8"/>
      <c r="X407" s="8"/>
      <c r="Y407" s="8"/>
    </row>
    <row r="408" spans="1:25" ht="13.5" thickBot="1" x14ac:dyDescent="0.25">
      <c r="A408" s="193" t="s">
        <v>66</v>
      </c>
      <c r="B408" s="194"/>
      <c r="C408" s="194"/>
      <c r="D408" s="194"/>
      <c r="E408" s="194"/>
      <c r="F408" s="194"/>
      <c r="G408" s="194"/>
      <c r="H408" s="194"/>
      <c r="I408" s="194"/>
      <c r="J408" s="194"/>
      <c r="K408" s="194"/>
      <c r="L408" s="194"/>
      <c r="M408" s="194"/>
      <c r="N408" s="195"/>
      <c r="V408" s="8"/>
      <c r="W408" s="8"/>
      <c r="X408" s="8"/>
      <c r="Y408" s="8"/>
    </row>
    <row r="409" spans="1:25" ht="12.75" customHeight="1" thickBot="1" x14ac:dyDescent="0.25">
      <c r="A409" s="714" t="s">
        <v>6</v>
      </c>
      <c r="B409" s="715"/>
      <c r="C409" s="715"/>
      <c r="D409" s="715"/>
      <c r="E409" s="715"/>
      <c r="F409" s="715"/>
      <c r="G409" s="715"/>
      <c r="H409" s="715"/>
      <c r="I409" s="715"/>
      <c r="J409" s="715"/>
      <c r="K409" s="715"/>
      <c r="L409" s="715"/>
      <c r="M409" s="715"/>
      <c r="N409" s="716"/>
      <c r="V409" s="8"/>
      <c r="W409" s="8"/>
      <c r="X409" s="8"/>
      <c r="Y409" s="8"/>
    </row>
    <row r="410" spans="1:25" ht="12.75" customHeight="1" x14ac:dyDescent="0.2">
      <c r="A410" s="143" t="s">
        <v>48</v>
      </c>
      <c r="B410" s="144"/>
      <c r="C410" s="145"/>
      <c r="D410" s="197">
        <v>3860</v>
      </c>
      <c r="E410" s="198">
        <v>3635</v>
      </c>
      <c r="F410" s="199">
        <f t="shared" ref="F410:F415" si="212">+D410/E410</f>
        <v>1.061898211829436</v>
      </c>
      <c r="G410" s="198">
        <v>3376</v>
      </c>
      <c r="H410" s="200">
        <v>3262</v>
      </c>
      <c r="I410" s="201">
        <f t="shared" ref="I410:J423" si="213">+G410/D410</f>
        <v>0.87461139896373052</v>
      </c>
      <c r="J410" s="201">
        <f t="shared" si="213"/>
        <v>0.89738651994497942</v>
      </c>
      <c r="K410" s="198">
        <v>3022</v>
      </c>
      <c r="L410" s="200">
        <v>2760</v>
      </c>
      <c r="M410" s="201">
        <f t="shared" ref="M410:M415" si="214">+K410/E410</f>
        <v>0.83136176066024758</v>
      </c>
      <c r="N410" s="202">
        <v>0.92642550582464744</v>
      </c>
      <c r="V410" s="8"/>
      <c r="W410" s="8"/>
      <c r="X410" s="8"/>
      <c r="Y410" s="8"/>
    </row>
    <row r="411" spans="1:25" ht="12.75" customHeight="1" x14ac:dyDescent="0.2">
      <c r="A411" s="686" t="s">
        <v>49</v>
      </c>
      <c r="B411" s="689" t="s">
        <v>50</v>
      </c>
      <c r="C411" s="690"/>
      <c r="D411" s="203">
        <v>2351</v>
      </c>
      <c r="E411" s="204">
        <v>2183</v>
      </c>
      <c r="F411" s="205">
        <f t="shared" si="212"/>
        <v>1.0769583142464498</v>
      </c>
      <c r="G411" s="206">
        <v>2019</v>
      </c>
      <c r="H411" s="204">
        <v>1923</v>
      </c>
      <c r="I411" s="207">
        <f t="shared" si="213"/>
        <v>0.85878349638451723</v>
      </c>
      <c r="J411" s="207">
        <f t="shared" si="213"/>
        <v>0.88089784699954188</v>
      </c>
      <c r="K411" s="206">
        <v>1813</v>
      </c>
      <c r="L411" s="206">
        <v>1605</v>
      </c>
      <c r="M411" s="207">
        <f t="shared" si="214"/>
        <v>0.83050847457627119</v>
      </c>
      <c r="N411" s="208">
        <v>0.94279771190847639</v>
      </c>
      <c r="V411" s="8"/>
      <c r="W411" s="8"/>
      <c r="X411" s="8"/>
      <c r="Y411" s="8"/>
    </row>
    <row r="412" spans="1:25" ht="12.75" customHeight="1" x14ac:dyDescent="0.2">
      <c r="A412" s="687"/>
      <c r="B412" s="691" t="s">
        <v>49</v>
      </c>
      <c r="C412" s="158" t="s">
        <v>51</v>
      </c>
      <c r="D412" s="209">
        <v>2213</v>
      </c>
      <c r="E412" s="210">
        <v>2054</v>
      </c>
      <c r="F412" s="211">
        <f t="shared" si="212"/>
        <v>1.0774099318403116</v>
      </c>
      <c r="G412" s="212">
        <v>1916</v>
      </c>
      <c r="H412" s="210">
        <v>1821</v>
      </c>
      <c r="I412" s="213">
        <f t="shared" si="213"/>
        <v>0.8657930411206507</v>
      </c>
      <c r="J412" s="213">
        <f t="shared" si="213"/>
        <v>0.88656280428432332</v>
      </c>
      <c r="K412" s="212">
        <v>1711</v>
      </c>
      <c r="L412" s="212">
        <v>1502</v>
      </c>
      <c r="M412" s="213">
        <f t="shared" si="214"/>
        <v>0.83300876338851026</v>
      </c>
      <c r="N412" s="214">
        <v>0.93959362987369577</v>
      </c>
      <c r="V412" s="8"/>
      <c r="W412" s="8"/>
      <c r="X412" s="8"/>
      <c r="Y412" s="8"/>
    </row>
    <row r="413" spans="1:25" ht="12.75" customHeight="1" x14ac:dyDescent="0.2">
      <c r="A413" s="687"/>
      <c r="B413" s="692"/>
      <c r="C413" s="165" t="s">
        <v>52</v>
      </c>
      <c r="D413" s="215">
        <v>138</v>
      </c>
      <c r="E413" s="216">
        <v>138</v>
      </c>
      <c r="F413" s="217">
        <f t="shared" si="212"/>
        <v>1</v>
      </c>
      <c r="G413" s="218">
        <v>103</v>
      </c>
      <c r="H413" s="216">
        <v>103</v>
      </c>
      <c r="I413" s="219">
        <f t="shared" si="213"/>
        <v>0.74637681159420288</v>
      </c>
      <c r="J413" s="219">
        <f t="shared" si="213"/>
        <v>0.74637681159420288</v>
      </c>
      <c r="K413" s="218">
        <v>103</v>
      </c>
      <c r="L413" s="218">
        <v>103</v>
      </c>
      <c r="M413" s="219">
        <f t="shared" si="214"/>
        <v>0.74637681159420288</v>
      </c>
      <c r="N413" s="220">
        <v>1</v>
      </c>
      <c r="V413" s="8"/>
      <c r="W413" s="8"/>
      <c r="X413" s="8"/>
      <c r="Y413" s="8"/>
    </row>
    <row r="414" spans="1:25" ht="12.75" customHeight="1" x14ac:dyDescent="0.2">
      <c r="A414" s="687"/>
      <c r="B414" s="689" t="s">
        <v>53</v>
      </c>
      <c r="C414" s="690"/>
      <c r="D414" s="203">
        <v>1509</v>
      </c>
      <c r="E414" s="204">
        <v>1482</v>
      </c>
      <c r="F414" s="205">
        <f t="shared" si="212"/>
        <v>1.0182186234817814</v>
      </c>
      <c r="G414" s="206">
        <v>1357</v>
      </c>
      <c r="H414" s="204">
        <v>1350</v>
      </c>
      <c r="I414" s="207">
        <f t="shared" si="213"/>
        <v>0.89927104042412198</v>
      </c>
      <c r="J414" s="207">
        <f t="shared" si="213"/>
        <v>0.91093117408906887</v>
      </c>
      <c r="K414" s="206">
        <v>1218</v>
      </c>
      <c r="L414" s="206">
        <v>1155</v>
      </c>
      <c r="M414" s="207">
        <f t="shared" si="214"/>
        <v>0.82186234817813764</v>
      </c>
      <c r="N414" s="208">
        <v>0.90222222222222226</v>
      </c>
      <c r="V414" s="8"/>
      <c r="W414" s="8"/>
      <c r="X414" s="8"/>
      <c r="Y414" s="8"/>
    </row>
    <row r="415" spans="1:25" ht="12.75" customHeight="1" x14ac:dyDescent="0.2">
      <c r="A415" s="687"/>
      <c r="B415" s="691" t="s">
        <v>49</v>
      </c>
      <c r="C415" s="158" t="s">
        <v>51</v>
      </c>
      <c r="D415" s="209">
        <v>1509</v>
      </c>
      <c r="E415" s="210">
        <v>1482</v>
      </c>
      <c r="F415" s="211">
        <f t="shared" si="212"/>
        <v>1.0182186234817814</v>
      </c>
      <c r="G415" s="212">
        <v>1357</v>
      </c>
      <c r="H415" s="210">
        <v>1350</v>
      </c>
      <c r="I415" s="213">
        <f t="shared" si="213"/>
        <v>0.89927104042412198</v>
      </c>
      <c r="J415" s="213">
        <f t="shared" si="213"/>
        <v>0.91093117408906887</v>
      </c>
      <c r="K415" s="212">
        <v>1218</v>
      </c>
      <c r="L415" s="212">
        <v>1155</v>
      </c>
      <c r="M415" s="213">
        <f t="shared" si="214"/>
        <v>0.82186234817813764</v>
      </c>
      <c r="N415" s="214">
        <v>0.90222222222222226</v>
      </c>
      <c r="V415" s="8"/>
      <c r="W415" s="8"/>
      <c r="X415" s="8"/>
      <c r="Y415" s="8"/>
    </row>
    <row r="416" spans="1:25" ht="12.75" customHeight="1" thickBot="1" x14ac:dyDescent="0.25">
      <c r="A416" s="704"/>
      <c r="B416" s="712"/>
      <c r="C416" s="172" t="s">
        <v>52</v>
      </c>
      <c r="D416" s="221">
        <v>0</v>
      </c>
      <c r="E416" s="222">
        <v>0</v>
      </c>
      <c r="F416" s="223" t="s">
        <v>67</v>
      </c>
      <c r="G416" s="224">
        <v>0</v>
      </c>
      <c r="H416" s="222">
        <v>0</v>
      </c>
      <c r="I416" s="225" t="s">
        <v>67</v>
      </c>
      <c r="J416" s="225" t="s">
        <v>67</v>
      </c>
      <c r="K416" s="224">
        <v>0</v>
      </c>
      <c r="L416" s="224">
        <v>0</v>
      </c>
      <c r="M416" s="225" t="s">
        <v>67</v>
      </c>
      <c r="N416" s="226" t="s">
        <v>67</v>
      </c>
      <c r="V416" s="8" t="s">
        <v>61</v>
      </c>
      <c r="W416" s="8" t="s">
        <v>57</v>
      </c>
      <c r="X416" s="8"/>
      <c r="Y416" s="8"/>
    </row>
    <row r="417" spans="1:25" ht="12.75" customHeight="1" thickBot="1" x14ac:dyDescent="0.25">
      <c r="A417" s="714" t="s">
        <v>7</v>
      </c>
      <c r="B417" s="715"/>
      <c r="C417" s="715"/>
      <c r="D417" s="715"/>
      <c r="E417" s="715"/>
      <c r="F417" s="715"/>
      <c r="G417" s="715"/>
      <c r="H417" s="715"/>
      <c r="I417" s="715"/>
      <c r="J417" s="715"/>
      <c r="K417" s="715"/>
      <c r="L417" s="715"/>
      <c r="M417" s="715"/>
      <c r="N417" s="716"/>
      <c r="V417" s="8">
        <v>56.852116997340971</v>
      </c>
      <c r="W417" s="8">
        <v>56.852116997340971</v>
      </c>
      <c r="X417" s="8"/>
      <c r="Y417" s="8"/>
    </row>
    <row r="418" spans="1:25" ht="12.75" customHeight="1" x14ac:dyDescent="0.2">
      <c r="A418" s="143" t="s">
        <v>48</v>
      </c>
      <c r="B418" s="144"/>
      <c r="C418" s="145"/>
      <c r="D418" s="197">
        <v>5154</v>
      </c>
      <c r="E418" s="198">
        <v>4843</v>
      </c>
      <c r="F418" s="199">
        <f t="shared" ref="F418:F423" si="215">D418/E418</f>
        <v>1.0642163947966137</v>
      </c>
      <c r="G418" s="198">
        <v>5451</v>
      </c>
      <c r="H418" s="200">
        <v>4396</v>
      </c>
      <c r="I418" s="201">
        <f t="shared" ref="I418:I423" si="216">G418/D418</f>
        <v>1.0576251455180443</v>
      </c>
      <c r="J418" s="201">
        <f t="shared" si="213"/>
        <v>0.90770183770390256</v>
      </c>
      <c r="K418" s="198">
        <v>4174</v>
      </c>
      <c r="L418" s="200">
        <v>3694</v>
      </c>
      <c r="M418" s="201">
        <f t="shared" ref="M418:M423" si="217">K418/E418</f>
        <v>0.86186248193268633</v>
      </c>
      <c r="N418" s="202">
        <v>0.94949954504094636</v>
      </c>
      <c r="X418" s="8">
        <v>43.147883002659029</v>
      </c>
      <c r="Y418" s="8">
        <v>100</v>
      </c>
    </row>
    <row r="419" spans="1:25" ht="12.75" customHeight="1" x14ac:dyDescent="0.2">
      <c r="A419" s="686" t="s">
        <v>49</v>
      </c>
      <c r="B419" s="689" t="s">
        <v>50</v>
      </c>
      <c r="C419" s="690"/>
      <c r="D419" s="203">
        <v>3311</v>
      </c>
      <c r="E419" s="204">
        <v>3079</v>
      </c>
      <c r="F419" s="205">
        <f t="shared" si="215"/>
        <v>1.0753491393309516</v>
      </c>
      <c r="G419" s="206">
        <v>2740</v>
      </c>
      <c r="H419" s="204">
        <v>2735</v>
      </c>
      <c r="I419" s="207">
        <f t="shared" si="216"/>
        <v>0.82754454847478098</v>
      </c>
      <c r="J419" s="207">
        <f t="shared" si="213"/>
        <v>0.88827541409548549</v>
      </c>
      <c r="K419" s="206">
        <v>2533</v>
      </c>
      <c r="L419" s="206">
        <v>2189</v>
      </c>
      <c r="M419" s="207">
        <f t="shared" si="217"/>
        <v>0.82266969795388112</v>
      </c>
      <c r="N419" s="208">
        <v>0.92614259597806214</v>
      </c>
      <c r="X419" s="8">
        <v>100</v>
      </c>
      <c r="Y419" s="8"/>
    </row>
    <row r="420" spans="1:25" ht="12.75" customHeight="1" x14ac:dyDescent="0.2">
      <c r="A420" s="687"/>
      <c r="B420" s="691" t="s">
        <v>49</v>
      </c>
      <c r="C420" s="158" t="s">
        <v>51</v>
      </c>
      <c r="D420" s="209">
        <v>3197</v>
      </c>
      <c r="E420" s="210">
        <v>2970</v>
      </c>
      <c r="F420" s="211">
        <f t="shared" si="215"/>
        <v>1.0764309764309765</v>
      </c>
      <c r="G420" s="212">
        <v>2782</v>
      </c>
      <c r="H420" s="210">
        <v>2669</v>
      </c>
      <c r="I420" s="213">
        <f t="shared" si="216"/>
        <v>0.87019080387863623</v>
      </c>
      <c r="J420" s="213">
        <f t="shared" si="213"/>
        <v>0.8986531986531987</v>
      </c>
      <c r="K420" s="212">
        <v>2465</v>
      </c>
      <c r="L420" s="212">
        <v>2121</v>
      </c>
      <c r="M420" s="213">
        <f t="shared" si="217"/>
        <v>0.82996632996633002</v>
      </c>
      <c r="N420" s="214">
        <v>0.92356687898089174</v>
      </c>
      <c r="X420" s="8"/>
      <c r="Y420" s="8"/>
    </row>
    <row r="421" spans="1:25" ht="12.75" customHeight="1" x14ac:dyDescent="0.2">
      <c r="A421" s="687"/>
      <c r="B421" s="692"/>
      <c r="C421" s="165" t="s">
        <v>52</v>
      </c>
      <c r="D421" s="215">
        <v>114</v>
      </c>
      <c r="E421" s="216">
        <v>114</v>
      </c>
      <c r="F421" s="217">
        <f t="shared" si="215"/>
        <v>1</v>
      </c>
      <c r="G421" s="218">
        <v>68</v>
      </c>
      <c r="H421" s="216">
        <v>68</v>
      </c>
      <c r="I421" s="219">
        <f t="shared" si="216"/>
        <v>0.59649122807017541</v>
      </c>
      <c r="J421" s="219">
        <f t="shared" si="213"/>
        <v>0.59649122807017541</v>
      </c>
      <c r="K421" s="218">
        <v>68</v>
      </c>
      <c r="L421" s="218">
        <v>68</v>
      </c>
      <c r="M421" s="219">
        <f t="shared" si="217"/>
        <v>0.59649122807017541</v>
      </c>
      <c r="N421" s="220">
        <v>1</v>
      </c>
      <c r="X421" s="8"/>
      <c r="Y421" s="8"/>
    </row>
    <row r="422" spans="1:25" ht="12.75" customHeight="1" x14ac:dyDescent="0.2">
      <c r="A422" s="687"/>
      <c r="B422" s="689" t="s">
        <v>53</v>
      </c>
      <c r="C422" s="690"/>
      <c r="D422" s="203">
        <v>1843</v>
      </c>
      <c r="E422" s="204">
        <v>1808</v>
      </c>
      <c r="F422" s="205">
        <f t="shared" si="215"/>
        <v>1.019358407079646</v>
      </c>
      <c r="G422" s="206">
        <v>1691</v>
      </c>
      <c r="H422" s="204">
        <v>1675</v>
      </c>
      <c r="I422" s="207">
        <f t="shared" si="216"/>
        <v>0.91752577319587625</v>
      </c>
      <c r="J422" s="207">
        <f t="shared" si="213"/>
        <v>0.92643805309734517</v>
      </c>
      <c r="K422" s="206">
        <v>1652</v>
      </c>
      <c r="L422" s="206">
        <v>1506</v>
      </c>
      <c r="M422" s="207">
        <f t="shared" si="217"/>
        <v>0.91371681415929207</v>
      </c>
      <c r="N422" s="208">
        <v>0.98626865671641795</v>
      </c>
      <c r="X422" s="8"/>
      <c r="Y422" s="8"/>
    </row>
    <row r="423" spans="1:25" ht="12.75" customHeight="1" x14ac:dyDescent="0.2">
      <c r="A423" s="687"/>
      <c r="B423" s="691" t="s">
        <v>49</v>
      </c>
      <c r="C423" s="158" t="s">
        <v>51</v>
      </c>
      <c r="D423" s="209">
        <v>1843</v>
      </c>
      <c r="E423" s="210">
        <v>1808</v>
      </c>
      <c r="F423" s="211">
        <f t="shared" si="215"/>
        <v>1.019358407079646</v>
      </c>
      <c r="G423" s="212">
        <v>1691</v>
      </c>
      <c r="H423" s="210">
        <v>1675</v>
      </c>
      <c r="I423" s="213">
        <f t="shared" si="216"/>
        <v>0.91752577319587625</v>
      </c>
      <c r="J423" s="213">
        <f t="shared" si="213"/>
        <v>0.92643805309734517</v>
      </c>
      <c r="K423" s="212">
        <v>1652</v>
      </c>
      <c r="L423" s="212">
        <v>1506</v>
      </c>
      <c r="M423" s="213">
        <f t="shared" si="217"/>
        <v>0.91371681415929207</v>
      </c>
      <c r="N423" s="214">
        <v>0.98626865671641795</v>
      </c>
    </row>
    <row r="424" spans="1:25" ht="12.75" customHeight="1" thickBot="1" x14ac:dyDescent="0.25">
      <c r="A424" s="704"/>
      <c r="B424" s="712"/>
      <c r="C424" s="172" t="s">
        <v>52</v>
      </c>
      <c r="D424" s="221">
        <v>0</v>
      </c>
      <c r="E424" s="222">
        <v>0</v>
      </c>
      <c r="F424" s="223" t="s">
        <v>67</v>
      </c>
      <c r="G424" s="224">
        <v>0</v>
      </c>
      <c r="H424" s="222">
        <v>0</v>
      </c>
      <c r="I424" s="225" t="s">
        <v>67</v>
      </c>
      <c r="J424" s="225" t="s">
        <v>67</v>
      </c>
      <c r="K424" s="224">
        <v>0</v>
      </c>
      <c r="L424" s="224">
        <v>0</v>
      </c>
      <c r="M424" s="225" t="s">
        <v>67</v>
      </c>
      <c r="N424" s="226" t="s">
        <v>67</v>
      </c>
    </row>
    <row r="425" spans="1:25" ht="12.75" customHeight="1" thickBot="1" x14ac:dyDescent="0.25">
      <c r="A425" s="708" t="s">
        <v>8</v>
      </c>
      <c r="B425" s="709"/>
      <c r="C425" s="709"/>
      <c r="D425" s="709"/>
      <c r="E425" s="709"/>
      <c r="F425" s="709"/>
      <c r="G425" s="709"/>
      <c r="H425" s="709"/>
      <c r="I425" s="709"/>
      <c r="J425" s="709"/>
      <c r="K425" s="709"/>
      <c r="L425" s="709"/>
      <c r="M425" s="709"/>
      <c r="N425" s="710"/>
    </row>
    <row r="426" spans="1:25" ht="12.75" customHeight="1" x14ac:dyDescent="0.2">
      <c r="A426" s="143" t="s">
        <v>48</v>
      </c>
      <c r="B426" s="144"/>
      <c r="C426" s="145"/>
      <c r="D426" s="197">
        <v>6215</v>
      </c>
      <c r="E426" s="198">
        <v>5826</v>
      </c>
      <c r="F426" s="199">
        <f t="shared" ref="F426:F431" si="218">D426/E426</f>
        <v>1.0667696532784072</v>
      </c>
      <c r="G426" s="198">
        <v>5439</v>
      </c>
      <c r="H426" s="200">
        <v>5276</v>
      </c>
      <c r="I426" s="201">
        <f t="shared" ref="I426:I431" si="219">G426/D426</f>
        <v>0.87514078841512466</v>
      </c>
      <c r="J426" s="201">
        <f t="shared" ref="J426:J431" si="220">+H426/E426</f>
        <v>0.90559560590456578</v>
      </c>
      <c r="K426" s="198">
        <v>5112</v>
      </c>
      <c r="L426" s="200">
        <v>4400</v>
      </c>
      <c r="M426" s="201">
        <f t="shared" ref="M426:M431" si="221">K426/E426</f>
        <v>0.87744593202883625</v>
      </c>
      <c r="N426" s="202">
        <v>0.96891584533737685</v>
      </c>
    </row>
    <row r="427" spans="1:25" ht="12.75" customHeight="1" x14ac:dyDescent="0.2">
      <c r="A427" s="686" t="s">
        <v>49</v>
      </c>
      <c r="B427" s="689" t="s">
        <v>50</v>
      </c>
      <c r="C427" s="690"/>
      <c r="D427" s="203">
        <v>3778</v>
      </c>
      <c r="E427" s="204">
        <v>3487</v>
      </c>
      <c r="F427" s="205">
        <f t="shared" si="218"/>
        <v>1.083452824777746</v>
      </c>
      <c r="G427" s="206">
        <v>3171</v>
      </c>
      <c r="H427" s="204">
        <v>3057</v>
      </c>
      <c r="I427" s="207">
        <f t="shared" si="219"/>
        <v>0.83933298041291693</v>
      </c>
      <c r="J427" s="207">
        <f t="shared" si="220"/>
        <v>0.87668482936621739</v>
      </c>
      <c r="K427" s="206">
        <v>2922</v>
      </c>
      <c r="L427" s="206">
        <v>2467</v>
      </c>
      <c r="M427" s="207">
        <f t="shared" si="221"/>
        <v>0.83796960137654142</v>
      </c>
      <c r="N427" s="208">
        <v>0.95583905789990187</v>
      </c>
    </row>
    <row r="428" spans="1:25" ht="12.75" customHeight="1" x14ac:dyDescent="0.2">
      <c r="A428" s="687"/>
      <c r="B428" s="691" t="s">
        <v>49</v>
      </c>
      <c r="C428" s="158" t="s">
        <v>51</v>
      </c>
      <c r="D428" s="209">
        <v>3700</v>
      </c>
      <c r="E428" s="210">
        <v>3412</v>
      </c>
      <c r="F428" s="211">
        <f t="shared" si="218"/>
        <v>1.0844079718640094</v>
      </c>
      <c r="G428" s="212">
        <v>3112</v>
      </c>
      <c r="H428" s="210">
        <v>2998</v>
      </c>
      <c r="I428" s="213">
        <f t="shared" si="219"/>
        <v>0.84108108108108104</v>
      </c>
      <c r="J428" s="213">
        <f t="shared" si="220"/>
        <v>0.87866354044548656</v>
      </c>
      <c r="K428" s="212">
        <v>2863</v>
      </c>
      <c r="L428" s="212">
        <v>2416</v>
      </c>
      <c r="M428" s="213">
        <f t="shared" si="221"/>
        <v>0.83909730363423207</v>
      </c>
      <c r="N428" s="214">
        <v>0.95496997998665778</v>
      </c>
    </row>
    <row r="429" spans="1:25" ht="12.75" customHeight="1" x14ac:dyDescent="0.2">
      <c r="A429" s="687"/>
      <c r="B429" s="692"/>
      <c r="C429" s="165" t="s">
        <v>52</v>
      </c>
      <c r="D429" s="215">
        <v>78</v>
      </c>
      <c r="E429" s="216">
        <v>78</v>
      </c>
      <c r="F429" s="217">
        <f t="shared" si="218"/>
        <v>1</v>
      </c>
      <c r="G429" s="218">
        <v>59</v>
      </c>
      <c r="H429" s="216">
        <v>59</v>
      </c>
      <c r="I429" s="219">
        <f t="shared" si="219"/>
        <v>0.75641025641025639</v>
      </c>
      <c r="J429" s="219">
        <f t="shared" si="220"/>
        <v>0.75641025641025639</v>
      </c>
      <c r="K429" s="218">
        <v>59</v>
      </c>
      <c r="L429" s="218">
        <v>51</v>
      </c>
      <c r="M429" s="219">
        <f t="shared" si="221"/>
        <v>0.75641025641025639</v>
      </c>
      <c r="N429" s="220">
        <v>1</v>
      </c>
    </row>
    <row r="430" spans="1:25" ht="12.75" customHeight="1" x14ac:dyDescent="0.2">
      <c r="A430" s="687"/>
      <c r="B430" s="689" t="s">
        <v>53</v>
      </c>
      <c r="C430" s="690"/>
      <c r="D430" s="203">
        <v>2437</v>
      </c>
      <c r="E430" s="204">
        <v>2380</v>
      </c>
      <c r="F430" s="205">
        <f t="shared" si="218"/>
        <v>1.0239495798319327</v>
      </c>
      <c r="G430" s="206">
        <v>2268</v>
      </c>
      <c r="H430" s="204">
        <v>2236</v>
      </c>
      <c r="I430" s="207">
        <f t="shared" si="219"/>
        <v>0.93065244152646698</v>
      </c>
      <c r="J430" s="207">
        <f t="shared" si="220"/>
        <v>0.93949579831932772</v>
      </c>
      <c r="K430" s="206">
        <v>2202</v>
      </c>
      <c r="L430" s="206">
        <v>1935</v>
      </c>
      <c r="M430" s="207">
        <f t="shared" si="221"/>
        <v>0.92521008403361349</v>
      </c>
      <c r="N430" s="208">
        <v>0.98479427549194987</v>
      </c>
    </row>
    <row r="431" spans="1:25" ht="12.75" customHeight="1" x14ac:dyDescent="0.2">
      <c r="A431" s="687"/>
      <c r="B431" s="691" t="s">
        <v>49</v>
      </c>
      <c r="C431" s="158" t="s">
        <v>51</v>
      </c>
      <c r="D431" s="209">
        <v>2437</v>
      </c>
      <c r="E431" s="210">
        <v>2380</v>
      </c>
      <c r="F431" s="211">
        <f t="shared" si="218"/>
        <v>1.0239495798319327</v>
      </c>
      <c r="G431" s="212">
        <v>2268</v>
      </c>
      <c r="H431" s="210">
        <v>2236</v>
      </c>
      <c r="I431" s="213">
        <f t="shared" si="219"/>
        <v>0.93065244152646698</v>
      </c>
      <c r="J431" s="213">
        <f t="shared" si="220"/>
        <v>0.93949579831932772</v>
      </c>
      <c r="K431" s="212">
        <v>2202</v>
      </c>
      <c r="L431" s="212">
        <v>1935</v>
      </c>
      <c r="M431" s="213">
        <f t="shared" si="221"/>
        <v>0.92521008403361349</v>
      </c>
      <c r="N431" s="214">
        <v>0.98479427549194987</v>
      </c>
    </row>
    <row r="432" spans="1:25" ht="12.75" customHeight="1" thickBot="1" x14ac:dyDescent="0.25">
      <c r="A432" s="704"/>
      <c r="B432" s="712"/>
      <c r="C432" s="172" t="s">
        <v>52</v>
      </c>
      <c r="D432" s="221">
        <v>0</v>
      </c>
      <c r="E432" s="222">
        <v>0</v>
      </c>
      <c r="F432" s="223" t="s">
        <v>67</v>
      </c>
      <c r="G432" s="224">
        <v>0</v>
      </c>
      <c r="H432" s="222">
        <v>0</v>
      </c>
      <c r="I432" s="225" t="s">
        <v>67</v>
      </c>
      <c r="J432" s="225" t="s">
        <v>67</v>
      </c>
      <c r="K432" s="224">
        <v>0</v>
      </c>
      <c r="L432" s="224">
        <v>0</v>
      </c>
      <c r="M432" s="225" t="s">
        <v>67</v>
      </c>
      <c r="N432" s="226" t="s">
        <v>67</v>
      </c>
    </row>
    <row r="433" spans="1:14" ht="12.75" customHeight="1" thickBot="1" x14ac:dyDescent="0.25">
      <c r="A433" s="708" t="s">
        <v>9</v>
      </c>
      <c r="B433" s="709"/>
      <c r="C433" s="709"/>
      <c r="D433" s="709"/>
      <c r="E433" s="709"/>
      <c r="F433" s="709"/>
      <c r="G433" s="709"/>
      <c r="H433" s="709"/>
      <c r="I433" s="709"/>
      <c r="J433" s="709"/>
      <c r="K433" s="709"/>
      <c r="L433" s="709"/>
      <c r="M433" s="709"/>
      <c r="N433" s="710"/>
    </row>
    <row r="434" spans="1:14" ht="12.75" customHeight="1" x14ac:dyDescent="0.2">
      <c r="A434" s="143" t="s">
        <v>48</v>
      </c>
      <c r="B434" s="144"/>
      <c r="C434" s="145"/>
      <c r="D434" s="197">
        <v>8715</v>
      </c>
      <c r="E434" s="198">
        <v>8242</v>
      </c>
      <c r="F434" s="199">
        <v>1.0573889832564911</v>
      </c>
      <c r="G434" s="198">
        <v>7779</v>
      </c>
      <c r="H434" s="200">
        <v>7570</v>
      </c>
      <c r="I434" s="201">
        <v>0.89259896729776245</v>
      </c>
      <c r="J434" s="201">
        <v>0.91846639165251154</v>
      </c>
      <c r="K434" s="198">
        <v>7319</v>
      </c>
      <c r="L434" s="200">
        <v>6592</v>
      </c>
      <c r="M434" s="201">
        <v>0.88801261829653</v>
      </c>
      <c r="N434" s="202">
        <v>0.96684280052840155</v>
      </c>
    </row>
    <row r="435" spans="1:14" ht="12.75" customHeight="1" x14ac:dyDescent="0.2">
      <c r="A435" s="686" t="s">
        <v>49</v>
      </c>
      <c r="B435" s="689" t="s">
        <v>50</v>
      </c>
      <c r="C435" s="690"/>
      <c r="D435" s="203">
        <v>4365</v>
      </c>
      <c r="E435" s="204">
        <v>4025</v>
      </c>
      <c r="F435" s="205">
        <v>1.0844720496894409</v>
      </c>
      <c r="G435" s="206">
        <v>3733</v>
      </c>
      <c r="H435" s="204">
        <v>3579</v>
      </c>
      <c r="I435" s="207">
        <v>0.85521191294387167</v>
      </c>
      <c r="J435" s="207">
        <v>0.88919254658385094</v>
      </c>
      <c r="K435" s="206">
        <v>3412</v>
      </c>
      <c r="L435" s="206">
        <v>2985</v>
      </c>
      <c r="M435" s="207">
        <v>0.8477018633540373</v>
      </c>
      <c r="N435" s="208">
        <v>0.95333892148644872</v>
      </c>
    </row>
    <row r="436" spans="1:14" ht="12.75" customHeight="1" x14ac:dyDescent="0.2">
      <c r="A436" s="687"/>
      <c r="B436" s="691" t="s">
        <v>49</v>
      </c>
      <c r="C436" s="158" t="s">
        <v>51</v>
      </c>
      <c r="D436" s="209">
        <v>4309</v>
      </c>
      <c r="E436" s="210">
        <v>3982</v>
      </c>
      <c r="F436" s="211">
        <v>1.082119537920643</v>
      </c>
      <c r="G436" s="212">
        <v>3692</v>
      </c>
      <c r="H436" s="210">
        <v>3546</v>
      </c>
      <c r="I436" s="213">
        <v>0.8568113251334416</v>
      </c>
      <c r="J436" s="213">
        <v>0.89050728277247615</v>
      </c>
      <c r="K436" s="212">
        <v>3378</v>
      </c>
      <c r="L436" s="212">
        <v>2949</v>
      </c>
      <c r="M436" s="213">
        <v>0.84831742842792568</v>
      </c>
      <c r="N436" s="214">
        <v>0.95262267343485618</v>
      </c>
    </row>
    <row r="437" spans="1:14" ht="12.75" customHeight="1" x14ac:dyDescent="0.2">
      <c r="A437" s="687"/>
      <c r="B437" s="692"/>
      <c r="C437" s="165" t="s">
        <v>52</v>
      </c>
      <c r="D437" s="215">
        <v>56</v>
      </c>
      <c r="E437" s="216">
        <v>56</v>
      </c>
      <c r="F437" s="217">
        <v>1</v>
      </c>
      <c r="G437" s="218">
        <v>41</v>
      </c>
      <c r="H437" s="216">
        <v>41</v>
      </c>
      <c r="I437" s="219">
        <v>0.7321428571428571</v>
      </c>
      <c r="J437" s="219">
        <v>0.7321428571428571</v>
      </c>
      <c r="K437" s="218">
        <v>41</v>
      </c>
      <c r="L437" s="218">
        <v>36</v>
      </c>
      <c r="M437" s="219">
        <v>0.7321428571428571</v>
      </c>
      <c r="N437" s="220">
        <v>1</v>
      </c>
    </row>
    <row r="438" spans="1:14" ht="12.75" customHeight="1" x14ac:dyDescent="0.2">
      <c r="A438" s="687"/>
      <c r="B438" s="689" t="s">
        <v>53</v>
      </c>
      <c r="C438" s="690"/>
      <c r="D438" s="203">
        <v>4350</v>
      </c>
      <c r="E438" s="204">
        <v>4261</v>
      </c>
      <c r="F438" s="205">
        <v>1.0208871157005397</v>
      </c>
      <c r="G438" s="206">
        <v>4046</v>
      </c>
      <c r="H438" s="204">
        <v>4015</v>
      </c>
      <c r="I438" s="207">
        <v>0.93011494252873561</v>
      </c>
      <c r="J438" s="207">
        <v>0.94226707345693494</v>
      </c>
      <c r="K438" s="206">
        <v>3923</v>
      </c>
      <c r="L438" s="206">
        <v>3611</v>
      </c>
      <c r="M438" s="207">
        <v>0.92067589767660174</v>
      </c>
      <c r="N438" s="208">
        <v>0.97708592777085923</v>
      </c>
    </row>
    <row r="439" spans="1:14" ht="12.75" customHeight="1" x14ac:dyDescent="0.2">
      <c r="A439" s="687"/>
      <c r="B439" s="691" t="s">
        <v>49</v>
      </c>
      <c r="C439" s="158" t="s">
        <v>51</v>
      </c>
      <c r="D439" s="209">
        <v>4350</v>
      </c>
      <c r="E439" s="210">
        <v>4261</v>
      </c>
      <c r="F439" s="211">
        <v>1.0208871157005397</v>
      </c>
      <c r="G439" s="212">
        <v>4046</v>
      </c>
      <c r="H439" s="210">
        <v>4015</v>
      </c>
      <c r="I439" s="213">
        <v>0.93011494252873561</v>
      </c>
      <c r="J439" s="213">
        <v>0.94226707345693494</v>
      </c>
      <c r="K439" s="212">
        <v>3923</v>
      </c>
      <c r="L439" s="212">
        <v>3611</v>
      </c>
      <c r="M439" s="213">
        <v>0.92067589767660174</v>
      </c>
      <c r="N439" s="214">
        <v>0.97708592777085923</v>
      </c>
    </row>
    <row r="440" spans="1:14" ht="12.75" customHeight="1" thickBot="1" x14ac:dyDescent="0.25">
      <c r="A440" s="704"/>
      <c r="B440" s="712"/>
      <c r="C440" s="172" t="s">
        <v>52</v>
      </c>
      <c r="D440" s="221">
        <v>0</v>
      </c>
      <c r="E440" s="222">
        <v>0</v>
      </c>
      <c r="F440" s="223" t="s">
        <v>67</v>
      </c>
      <c r="G440" s="224">
        <v>0</v>
      </c>
      <c r="H440" s="222">
        <v>0</v>
      </c>
      <c r="I440" s="225" t="s">
        <v>67</v>
      </c>
      <c r="J440" s="225" t="s">
        <v>67</v>
      </c>
      <c r="K440" s="224">
        <v>0</v>
      </c>
      <c r="L440" s="224">
        <v>0</v>
      </c>
      <c r="M440" s="225" t="s">
        <v>67</v>
      </c>
      <c r="N440" s="226" t="s">
        <v>67</v>
      </c>
    </row>
    <row r="441" spans="1:14" ht="12.75" customHeight="1" thickBot="1" x14ac:dyDescent="0.25">
      <c r="A441" s="708" t="s">
        <v>10</v>
      </c>
      <c r="B441" s="709"/>
      <c r="C441" s="709"/>
      <c r="D441" s="709"/>
      <c r="E441" s="709"/>
      <c r="F441" s="709"/>
      <c r="G441" s="709"/>
      <c r="H441" s="709"/>
      <c r="I441" s="709"/>
      <c r="J441" s="709"/>
      <c r="K441" s="709"/>
      <c r="L441" s="709"/>
      <c r="M441" s="709"/>
      <c r="N441" s="710"/>
    </row>
    <row r="442" spans="1:14" ht="12.75" customHeight="1" x14ac:dyDescent="0.2">
      <c r="A442" s="143" t="s">
        <v>48</v>
      </c>
      <c r="B442" s="144"/>
      <c r="C442" s="145"/>
      <c r="D442" s="197">
        <v>10113</v>
      </c>
      <c r="E442" s="198">
        <v>9336</v>
      </c>
      <c r="F442" s="199">
        <f t="shared" ref="F442:F447" si="222">D442/E442</f>
        <v>1.0832262210796915</v>
      </c>
      <c r="G442" s="198">
        <v>9037</v>
      </c>
      <c r="H442" s="200">
        <v>8583</v>
      </c>
      <c r="I442" s="201">
        <f t="shared" ref="I442:I447" si="223">G442/D442</f>
        <v>0.8936022940769307</v>
      </c>
      <c r="J442" s="201">
        <f t="shared" ref="J442:J447" si="224">+H442/E442</f>
        <v>0.91934447300771205</v>
      </c>
      <c r="K442" s="198">
        <v>8197</v>
      </c>
      <c r="L442" s="200">
        <v>7538</v>
      </c>
      <c r="M442" s="201">
        <f t="shared" ref="M442:M447" si="225">+K442/E442</f>
        <v>0.87799914310197091</v>
      </c>
      <c r="N442" s="202">
        <f t="shared" ref="N442:N447" si="226">K442/H442</f>
        <v>0.95502737970406615</v>
      </c>
    </row>
    <row r="443" spans="1:14" ht="12.75" customHeight="1" x14ac:dyDescent="0.2">
      <c r="A443" s="686" t="s">
        <v>49</v>
      </c>
      <c r="B443" s="689" t="s">
        <v>50</v>
      </c>
      <c r="C443" s="690"/>
      <c r="D443" s="203">
        <v>5104</v>
      </c>
      <c r="E443" s="204">
        <v>4575</v>
      </c>
      <c r="F443" s="205">
        <f t="shared" si="222"/>
        <v>1.1156284153005465</v>
      </c>
      <c r="G443" s="206">
        <v>4451</v>
      </c>
      <c r="H443" s="204">
        <v>4136</v>
      </c>
      <c r="I443" s="207">
        <f t="shared" si="223"/>
        <v>0.87206112852664575</v>
      </c>
      <c r="J443" s="207">
        <f t="shared" si="224"/>
        <v>0.9040437158469945</v>
      </c>
      <c r="K443" s="206">
        <v>3874</v>
      </c>
      <c r="L443" s="206">
        <v>3430</v>
      </c>
      <c r="M443" s="207">
        <f t="shared" si="225"/>
        <v>0.84677595628415303</v>
      </c>
      <c r="N443" s="208">
        <f t="shared" si="226"/>
        <v>0.93665377176015474</v>
      </c>
    </row>
    <row r="444" spans="1:14" ht="12.75" customHeight="1" x14ac:dyDescent="0.2">
      <c r="A444" s="687"/>
      <c r="B444" s="691" t="s">
        <v>49</v>
      </c>
      <c r="C444" s="158" t="s">
        <v>51</v>
      </c>
      <c r="D444" s="209">
        <v>5048</v>
      </c>
      <c r="E444" s="210">
        <v>4526</v>
      </c>
      <c r="F444" s="211">
        <f t="shared" si="222"/>
        <v>1.1153336279275299</v>
      </c>
      <c r="G444" s="212">
        <v>4408</v>
      </c>
      <c r="H444" s="210">
        <v>4097</v>
      </c>
      <c r="I444" s="213">
        <f t="shared" si="223"/>
        <v>0.87321711568938198</v>
      </c>
      <c r="J444" s="213">
        <f t="shared" si="224"/>
        <v>0.90521431727794965</v>
      </c>
      <c r="K444" s="212">
        <v>3832</v>
      </c>
      <c r="L444" s="212">
        <v>3396</v>
      </c>
      <c r="M444" s="213">
        <f t="shared" si="225"/>
        <v>0.84666372072470175</v>
      </c>
      <c r="N444" s="214">
        <f t="shared" si="226"/>
        <v>0.93531852575054919</v>
      </c>
    </row>
    <row r="445" spans="1:14" ht="12.75" customHeight="1" x14ac:dyDescent="0.2">
      <c r="A445" s="687"/>
      <c r="B445" s="692"/>
      <c r="C445" s="165" t="s">
        <v>52</v>
      </c>
      <c r="D445" s="215">
        <v>56</v>
      </c>
      <c r="E445" s="216">
        <v>55</v>
      </c>
      <c r="F445" s="217">
        <f t="shared" si="222"/>
        <v>1.0181818181818181</v>
      </c>
      <c r="G445" s="218">
        <v>43</v>
      </c>
      <c r="H445" s="216">
        <v>42</v>
      </c>
      <c r="I445" s="219">
        <f t="shared" si="223"/>
        <v>0.7678571428571429</v>
      </c>
      <c r="J445" s="219">
        <f t="shared" si="224"/>
        <v>0.76363636363636367</v>
      </c>
      <c r="K445" s="218">
        <v>42</v>
      </c>
      <c r="L445" s="218">
        <v>34</v>
      </c>
      <c r="M445" s="219">
        <f t="shared" si="225"/>
        <v>0.76363636363636367</v>
      </c>
      <c r="N445" s="220">
        <f t="shared" si="226"/>
        <v>1</v>
      </c>
    </row>
    <row r="446" spans="1:14" ht="12.75" customHeight="1" x14ac:dyDescent="0.2">
      <c r="A446" s="687"/>
      <c r="B446" s="689" t="s">
        <v>53</v>
      </c>
      <c r="C446" s="690"/>
      <c r="D446" s="203">
        <v>5009</v>
      </c>
      <c r="E446" s="204">
        <v>4813</v>
      </c>
      <c r="F446" s="205">
        <f t="shared" si="222"/>
        <v>1.0407230417618949</v>
      </c>
      <c r="G446" s="206">
        <v>4586</v>
      </c>
      <c r="H446" s="204">
        <v>4475</v>
      </c>
      <c r="I446" s="207">
        <f t="shared" si="223"/>
        <v>0.91555200638850065</v>
      </c>
      <c r="J446" s="207">
        <f t="shared" si="224"/>
        <v>0.92977353002285479</v>
      </c>
      <c r="K446" s="206">
        <v>4347</v>
      </c>
      <c r="L446" s="206">
        <v>4118</v>
      </c>
      <c r="M446" s="207">
        <f t="shared" si="225"/>
        <v>0.90317889050488265</v>
      </c>
      <c r="N446" s="208">
        <f t="shared" si="226"/>
        <v>0.97139664804469272</v>
      </c>
    </row>
    <row r="447" spans="1:14" ht="12.75" customHeight="1" x14ac:dyDescent="0.2">
      <c r="A447" s="687"/>
      <c r="B447" s="691" t="s">
        <v>49</v>
      </c>
      <c r="C447" s="158" t="s">
        <v>51</v>
      </c>
      <c r="D447" s="209">
        <v>5009</v>
      </c>
      <c r="E447" s="210">
        <v>4813</v>
      </c>
      <c r="F447" s="211">
        <f t="shared" si="222"/>
        <v>1.0407230417618949</v>
      </c>
      <c r="G447" s="212">
        <v>4586</v>
      </c>
      <c r="H447" s="210">
        <v>4475</v>
      </c>
      <c r="I447" s="213">
        <f t="shared" si="223"/>
        <v>0.91555200638850065</v>
      </c>
      <c r="J447" s="213">
        <f t="shared" si="224"/>
        <v>0.92977353002285479</v>
      </c>
      <c r="K447" s="212">
        <v>4347</v>
      </c>
      <c r="L447" s="212">
        <v>4118</v>
      </c>
      <c r="M447" s="213">
        <f t="shared" si="225"/>
        <v>0.90317889050488265</v>
      </c>
      <c r="N447" s="214">
        <f t="shared" si="226"/>
        <v>0.97139664804469272</v>
      </c>
    </row>
    <row r="448" spans="1:14" ht="12.75" customHeight="1" thickBot="1" x14ac:dyDescent="0.25">
      <c r="A448" s="704"/>
      <c r="B448" s="712"/>
      <c r="C448" s="172" t="s">
        <v>52</v>
      </c>
      <c r="D448" s="221">
        <v>0</v>
      </c>
      <c r="E448" s="222">
        <v>0</v>
      </c>
      <c r="F448" s="223" t="s">
        <v>67</v>
      </c>
      <c r="G448" s="224">
        <v>0</v>
      </c>
      <c r="H448" s="222">
        <v>0</v>
      </c>
      <c r="I448" s="225" t="s">
        <v>67</v>
      </c>
      <c r="J448" s="225" t="s">
        <v>67</v>
      </c>
      <c r="K448" s="224">
        <v>0</v>
      </c>
      <c r="L448" s="224">
        <v>0</v>
      </c>
      <c r="M448" s="225" t="s">
        <v>67</v>
      </c>
      <c r="N448" s="226" t="s">
        <v>67</v>
      </c>
    </row>
    <row r="449" spans="1:14" ht="12.75" customHeight="1" thickBot="1" x14ac:dyDescent="0.25">
      <c r="A449" s="708" t="s">
        <v>11</v>
      </c>
      <c r="B449" s="709"/>
      <c r="C449" s="709"/>
      <c r="D449" s="709"/>
      <c r="E449" s="709"/>
      <c r="F449" s="709"/>
      <c r="G449" s="709"/>
      <c r="H449" s="709"/>
      <c r="I449" s="709"/>
      <c r="J449" s="709"/>
      <c r="K449" s="709"/>
      <c r="L449" s="709"/>
      <c r="M449" s="709"/>
      <c r="N449" s="710"/>
    </row>
    <row r="450" spans="1:14" ht="12.75" customHeight="1" x14ac:dyDescent="0.2">
      <c r="A450" s="143" t="s">
        <v>48</v>
      </c>
      <c r="B450" s="144"/>
      <c r="C450" s="145"/>
      <c r="D450" s="197">
        <v>12815</v>
      </c>
      <c r="E450" s="198">
        <v>11978</v>
      </c>
      <c r="F450" s="199">
        <v>1.0698781098680914</v>
      </c>
      <c r="G450" s="198">
        <v>11511</v>
      </c>
      <c r="H450" s="200">
        <v>11037</v>
      </c>
      <c r="I450" s="201">
        <v>0.89824424502536093</v>
      </c>
      <c r="J450" s="201">
        <v>0.92143930539322094</v>
      </c>
      <c r="K450" s="198">
        <v>10357</v>
      </c>
      <c r="L450" s="200">
        <v>9774</v>
      </c>
      <c r="M450" s="201">
        <v>0.86466855902487894</v>
      </c>
      <c r="N450" s="202">
        <v>0.9383890549968289</v>
      </c>
    </row>
    <row r="451" spans="1:14" ht="12.75" customHeight="1" x14ac:dyDescent="0.2">
      <c r="A451" s="686" t="s">
        <v>49</v>
      </c>
      <c r="B451" s="689" t="s">
        <v>50</v>
      </c>
      <c r="C451" s="690"/>
      <c r="D451" s="203">
        <v>5979</v>
      </c>
      <c r="E451" s="204">
        <v>5448</v>
      </c>
      <c r="F451" s="205">
        <v>1.097466960352423</v>
      </c>
      <c r="G451" s="206">
        <v>5264</v>
      </c>
      <c r="H451" s="204">
        <v>4941</v>
      </c>
      <c r="I451" s="207">
        <v>0.88041478508111726</v>
      </c>
      <c r="J451" s="207">
        <v>0.9069383259911894</v>
      </c>
      <c r="K451" s="206">
        <v>4758</v>
      </c>
      <c r="L451" s="206">
        <v>4219</v>
      </c>
      <c r="M451" s="207">
        <v>0.87334801762114533</v>
      </c>
      <c r="N451" s="208">
        <v>0.96296296296296291</v>
      </c>
    </row>
    <row r="452" spans="1:14" ht="12.75" customHeight="1" x14ac:dyDescent="0.2">
      <c r="A452" s="687"/>
      <c r="B452" s="691" t="s">
        <v>49</v>
      </c>
      <c r="C452" s="158" t="s">
        <v>51</v>
      </c>
      <c r="D452" s="209">
        <v>5964</v>
      </c>
      <c r="E452" s="210">
        <v>5435</v>
      </c>
      <c r="F452" s="211">
        <v>1.0973321067157313</v>
      </c>
      <c r="G452" s="212">
        <v>5255</v>
      </c>
      <c r="H452" s="210">
        <v>4933</v>
      </c>
      <c r="I452" s="213">
        <v>0.88112005365526491</v>
      </c>
      <c r="J452" s="213">
        <v>0.90763569457221716</v>
      </c>
      <c r="K452" s="212">
        <v>4750</v>
      </c>
      <c r="L452" s="212">
        <v>4211</v>
      </c>
      <c r="M452" s="213">
        <v>0.87396504139834408</v>
      </c>
      <c r="N452" s="214">
        <v>0.96290289884451652</v>
      </c>
    </row>
    <row r="453" spans="1:14" ht="12.75" customHeight="1" x14ac:dyDescent="0.2">
      <c r="A453" s="687"/>
      <c r="B453" s="692"/>
      <c r="C453" s="165" t="s">
        <v>52</v>
      </c>
      <c r="D453" s="215">
        <v>15</v>
      </c>
      <c r="E453" s="216">
        <v>13</v>
      </c>
      <c r="F453" s="217">
        <v>1.1538461538461537</v>
      </c>
      <c r="G453" s="218">
        <v>9</v>
      </c>
      <c r="H453" s="216">
        <v>8</v>
      </c>
      <c r="I453" s="219">
        <v>0.6</v>
      </c>
      <c r="J453" s="219">
        <v>0.61538461538461542</v>
      </c>
      <c r="K453" s="218">
        <v>8</v>
      </c>
      <c r="L453" s="218">
        <v>8</v>
      </c>
      <c r="M453" s="219">
        <v>0.61538461538461542</v>
      </c>
      <c r="N453" s="220">
        <v>1</v>
      </c>
    </row>
    <row r="454" spans="1:14" ht="12.75" customHeight="1" x14ac:dyDescent="0.2">
      <c r="A454" s="687"/>
      <c r="B454" s="689" t="s">
        <v>53</v>
      </c>
      <c r="C454" s="690"/>
      <c r="D454" s="203">
        <v>6836</v>
      </c>
      <c r="E454" s="204">
        <v>6623</v>
      </c>
      <c r="F454" s="205">
        <v>1.0321606522723841</v>
      </c>
      <c r="G454" s="206">
        <v>6247</v>
      </c>
      <c r="H454" s="204">
        <v>6136</v>
      </c>
      <c r="I454" s="207">
        <v>0.91383850204798123</v>
      </c>
      <c r="J454" s="207">
        <v>0.92646836780914998</v>
      </c>
      <c r="K454" s="206">
        <v>5909</v>
      </c>
      <c r="L454" s="206">
        <v>5559</v>
      </c>
      <c r="M454" s="207">
        <v>0.89219386984750115</v>
      </c>
      <c r="N454" s="208">
        <v>0.96300521512385917</v>
      </c>
    </row>
    <row r="455" spans="1:14" ht="12.75" customHeight="1" x14ac:dyDescent="0.2">
      <c r="A455" s="687"/>
      <c r="B455" s="691" t="s">
        <v>49</v>
      </c>
      <c r="C455" s="158" t="s">
        <v>51</v>
      </c>
      <c r="D455" s="209">
        <v>6836</v>
      </c>
      <c r="E455" s="210">
        <v>6623</v>
      </c>
      <c r="F455" s="211">
        <v>1.0321606522723841</v>
      </c>
      <c r="G455" s="212">
        <v>6247</v>
      </c>
      <c r="H455" s="210">
        <v>6136</v>
      </c>
      <c r="I455" s="213">
        <v>0.91383850204798123</v>
      </c>
      <c r="J455" s="213">
        <v>0.92646836780914998</v>
      </c>
      <c r="K455" s="212">
        <v>5909</v>
      </c>
      <c r="L455" s="212">
        <v>5559</v>
      </c>
      <c r="M455" s="213">
        <v>0.89219386984750115</v>
      </c>
      <c r="N455" s="214">
        <v>0.96300521512385917</v>
      </c>
    </row>
    <row r="456" spans="1:14" ht="12.75" customHeight="1" thickBot="1" x14ac:dyDescent="0.25">
      <c r="A456" s="704"/>
      <c r="B456" s="712"/>
      <c r="C456" s="172" t="s">
        <v>52</v>
      </c>
      <c r="D456" s="221">
        <v>0</v>
      </c>
      <c r="E456" s="222">
        <v>0</v>
      </c>
      <c r="F456" s="223" t="s">
        <v>67</v>
      </c>
      <c r="G456" s="224">
        <v>0</v>
      </c>
      <c r="H456" s="222">
        <v>0</v>
      </c>
      <c r="I456" s="225" t="s">
        <v>67</v>
      </c>
      <c r="J456" s="225" t="s">
        <v>67</v>
      </c>
      <c r="K456" s="224">
        <v>0</v>
      </c>
      <c r="L456" s="224">
        <v>0</v>
      </c>
      <c r="M456" s="225" t="s">
        <v>67</v>
      </c>
      <c r="N456" s="226" t="s">
        <v>67</v>
      </c>
    </row>
    <row r="457" spans="1:14" ht="12.75" customHeight="1" thickBot="1" x14ac:dyDescent="0.25">
      <c r="A457" s="708" t="s">
        <v>12</v>
      </c>
      <c r="B457" s="709"/>
      <c r="C457" s="709"/>
      <c r="D457" s="709"/>
      <c r="E457" s="709"/>
      <c r="F457" s="709"/>
      <c r="G457" s="709"/>
      <c r="H457" s="709"/>
      <c r="I457" s="709"/>
      <c r="J457" s="709"/>
      <c r="K457" s="709"/>
      <c r="L457" s="709"/>
      <c r="M457" s="709"/>
      <c r="N457" s="710"/>
    </row>
    <row r="458" spans="1:14" ht="12.75" customHeight="1" x14ac:dyDescent="0.2">
      <c r="A458" s="143" t="s">
        <v>48</v>
      </c>
      <c r="B458" s="144"/>
      <c r="C458" s="145"/>
      <c r="D458" s="197">
        <v>17509</v>
      </c>
      <c r="E458" s="198">
        <v>16314</v>
      </c>
      <c r="F458" s="199">
        <f>D458/E458</f>
        <v>1.0732499693514772</v>
      </c>
      <c r="G458" s="198">
        <v>16057</v>
      </c>
      <c r="H458" s="200">
        <v>15398</v>
      </c>
      <c r="I458" s="201">
        <f>G458/D458</f>
        <v>0.91707122051516365</v>
      </c>
      <c r="J458" s="201">
        <f>+H458/E458</f>
        <v>0.94385190633811455</v>
      </c>
      <c r="K458" s="198">
        <v>14459</v>
      </c>
      <c r="L458" s="200">
        <v>13595</v>
      </c>
      <c r="M458" s="201">
        <f>+K458/E458</f>
        <v>0.88629398063013365</v>
      </c>
      <c r="N458" s="202">
        <f>K458/H458</f>
        <v>0.9390180542927653</v>
      </c>
    </row>
    <row r="459" spans="1:14" ht="12.75" customHeight="1" x14ac:dyDescent="0.2">
      <c r="A459" s="686" t="s">
        <v>49</v>
      </c>
      <c r="B459" s="689" t="s">
        <v>50</v>
      </c>
      <c r="C459" s="690"/>
      <c r="D459" s="203">
        <v>7513</v>
      </c>
      <c r="E459" s="204">
        <v>6814</v>
      </c>
      <c r="F459" s="205">
        <f>D459/E459</f>
        <v>1.1025829175227473</v>
      </c>
      <c r="G459" s="206">
        <v>6608</v>
      </c>
      <c r="H459" s="204">
        <v>6281</v>
      </c>
      <c r="I459" s="207">
        <f>G459/D459</f>
        <v>0.87954212697990153</v>
      </c>
      <c r="J459" s="207">
        <f>+H459/E459</f>
        <v>0.92177869093043729</v>
      </c>
      <c r="K459" s="206">
        <v>5825</v>
      </c>
      <c r="L459" s="206">
        <v>5407</v>
      </c>
      <c r="M459" s="207">
        <f>+K459/E459</f>
        <v>0.85485764602289405</v>
      </c>
      <c r="N459" s="208">
        <f>K459/H459</f>
        <v>0.92740009552619007</v>
      </c>
    </row>
    <row r="460" spans="1:14" ht="12.75" customHeight="1" x14ac:dyDescent="0.2">
      <c r="A460" s="687"/>
      <c r="B460" s="691" t="s">
        <v>49</v>
      </c>
      <c r="C460" s="158" t="s">
        <v>51</v>
      </c>
      <c r="D460" s="209">
        <v>7513</v>
      </c>
      <c r="E460" s="210">
        <v>6814</v>
      </c>
      <c r="F460" s="211">
        <f>D460/E460</f>
        <v>1.1025829175227473</v>
      </c>
      <c r="G460" s="212">
        <v>6608</v>
      </c>
      <c r="H460" s="210">
        <v>6281</v>
      </c>
      <c r="I460" s="213">
        <f>G460/D460</f>
        <v>0.87954212697990153</v>
      </c>
      <c r="J460" s="213">
        <f>+H460/E460</f>
        <v>0.92177869093043729</v>
      </c>
      <c r="K460" s="212">
        <v>5825</v>
      </c>
      <c r="L460" s="212">
        <v>5407</v>
      </c>
      <c r="M460" s="213">
        <f>+K460/E460</f>
        <v>0.85485764602289405</v>
      </c>
      <c r="N460" s="214">
        <f>K460/H460</f>
        <v>0.92740009552619007</v>
      </c>
    </row>
    <row r="461" spans="1:14" ht="12.75" customHeight="1" x14ac:dyDescent="0.2">
      <c r="A461" s="687"/>
      <c r="B461" s="692"/>
      <c r="C461" s="165" t="s">
        <v>52</v>
      </c>
      <c r="D461" s="215">
        <v>0</v>
      </c>
      <c r="E461" s="216">
        <v>0</v>
      </c>
      <c r="F461" s="217" t="s">
        <v>67</v>
      </c>
      <c r="G461" s="218">
        <v>0</v>
      </c>
      <c r="H461" s="216">
        <v>0</v>
      </c>
      <c r="I461" s="219" t="s">
        <v>67</v>
      </c>
      <c r="J461" s="219" t="s">
        <v>67</v>
      </c>
      <c r="K461" s="218">
        <v>0</v>
      </c>
      <c r="L461" s="218">
        <v>0</v>
      </c>
      <c r="M461" s="219" t="s">
        <v>67</v>
      </c>
      <c r="N461" s="220" t="s">
        <v>67</v>
      </c>
    </row>
    <row r="462" spans="1:14" ht="12.75" customHeight="1" x14ac:dyDescent="0.2">
      <c r="A462" s="687"/>
      <c r="B462" s="689" t="s">
        <v>53</v>
      </c>
      <c r="C462" s="690"/>
      <c r="D462" s="203">
        <v>9996</v>
      </c>
      <c r="E462" s="204">
        <v>9639</v>
      </c>
      <c r="F462" s="205">
        <f>D462/E462</f>
        <v>1.037037037037037</v>
      </c>
      <c r="G462" s="206">
        <v>9449</v>
      </c>
      <c r="H462" s="204">
        <v>9216</v>
      </c>
      <c r="I462" s="207">
        <f>G462/D462</f>
        <v>0.94527811124449779</v>
      </c>
      <c r="J462" s="207">
        <f>+H462/E462</f>
        <v>0.95611577964519145</v>
      </c>
      <c r="K462" s="206">
        <v>8685</v>
      </c>
      <c r="L462" s="206">
        <v>8210</v>
      </c>
      <c r="M462" s="207">
        <f>+K462/E462</f>
        <v>0.90102707749766575</v>
      </c>
      <c r="N462" s="208">
        <f>K462/H462</f>
        <v>0.9423828125</v>
      </c>
    </row>
    <row r="463" spans="1:14" ht="12.75" customHeight="1" x14ac:dyDescent="0.2">
      <c r="A463" s="687"/>
      <c r="B463" s="691" t="s">
        <v>49</v>
      </c>
      <c r="C463" s="158" t="s">
        <v>51</v>
      </c>
      <c r="D463" s="209">
        <v>9957</v>
      </c>
      <c r="E463" s="210">
        <v>9602</v>
      </c>
      <c r="F463" s="211">
        <f>D463/E463</f>
        <v>1.0369714642782755</v>
      </c>
      <c r="G463" s="212">
        <v>9410</v>
      </c>
      <c r="H463" s="210">
        <v>9179</v>
      </c>
      <c r="I463" s="213">
        <f>G463/D463</f>
        <v>0.94506377422918553</v>
      </c>
      <c r="J463" s="213">
        <f>+H463/E463</f>
        <v>0.95594667777546349</v>
      </c>
      <c r="K463" s="212">
        <v>8648</v>
      </c>
      <c r="L463" s="212">
        <v>8173</v>
      </c>
      <c r="M463" s="213">
        <f>+K463/E463</f>
        <v>0.90064569881274736</v>
      </c>
      <c r="N463" s="214">
        <f>K463/H463</f>
        <v>0.94215056106329664</v>
      </c>
    </row>
    <row r="464" spans="1:14" ht="12.75" customHeight="1" thickBot="1" x14ac:dyDescent="0.25">
      <c r="A464" s="704"/>
      <c r="B464" s="712"/>
      <c r="C464" s="172" t="s">
        <v>52</v>
      </c>
      <c r="D464" s="221">
        <v>39</v>
      </c>
      <c r="E464" s="222">
        <v>38</v>
      </c>
      <c r="F464" s="223">
        <f>D464/E464</f>
        <v>1.0263157894736843</v>
      </c>
      <c r="G464" s="224">
        <v>39</v>
      </c>
      <c r="H464" s="222">
        <v>38</v>
      </c>
      <c r="I464" s="225">
        <f>G464/D464</f>
        <v>1</v>
      </c>
      <c r="J464" s="225">
        <f>+H464/E464</f>
        <v>1</v>
      </c>
      <c r="K464" s="224">
        <v>38</v>
      </c>
      <c r="L464" s="224">
        <v>38</v>
      </c>
      <c r="M464" s="225">
        <f>+K464/E464</f>
        <v>1</v>
      </c>
      <c r="N464" s="226">
        <f>K464/H464</f>
        <v>1</v>
      </c>
    </row>
    <row r="465" spans="1:14" ht="12.75" customHeight="1" thickBot="1" x14ac:dyDescent="0.25">
      <c r="A465" s="708" t="s">
        <v>13</v>
      </c>
      <c r="B465" s="709"/>
      <c r="C465" s="709"/>
      <c r="D465" s="709"/>
      <c r="E465" s="709"/>
      <c r="F465" s="709"/>
      <c r="G465" s="709"/>
      <c r="H465" s="709"/>
      <c r="I465" s="709"/>
      <c r="J465" s="709"/>
      <c r="K465" s="709"/>
      <c r="L465" s="709"/>
      <c r="M465" s="709"/>
      <c r="N465" s="710"/>
    </row>
    <row r="466" spans="1:14" ht="12.75" customHeight="1" x14ac:dyDescent="0.2">
      <c r="A466" s="143" t="s">
        <v>48</v>
      </c>
      <c r="B466" s="144"/>
      <c r="C466" s="145"/>
      <c r="D466" s="197">
        <v>19509</v>
      </c>
      <c r="E466" s="198">
        <v>18059</v>
      </c>
      <c r="F466" s="199">
        <f>D466/E466</f>
        <v>1.0802923749930782</v>
      </c>
      <c r="G466" s="198">
        <v>17430</v>
      </c>
      <c r="H466" s="200">
        <v>16715</v>
      </c>
      <c r="I466" s="201">
        <f>G466/D466</f>
        <v>0.89343379978471471</v>
      </c>
      <c r="J466" s="201">
        <f>+H466/E466</f>
        <v>0.92557727448917437</v>
      </c>
      <c r="K466" s="198">
        <v>16298</v>
      </c>
      <c r="L466" s="200">
        <v>14916</v>
      </c>
      <c r="M466" s="201">
        <f>+K466/E466</f>
        <v>0.90248629492219945</v>
      </c>
      <c r="N466" s="202">
        <f>K466/H466</f>
        <v>0.97505234819024833</v>
      </c>
    </row>
    <row r="467" spans="1:14" ht="12.75" customHeight="1" x14ac:dyDescent="0.2">
      <c r="A467" s="686" t="s">
        <v>49</v>
      </c>
      <c r="B467" s="689" t="s">
        <v>50</v>
      </c>
      <c r="C467" s="690"/>
      <c r="D467" s="203">
        <v>7971</v>
      </c>
      <c r="E467" s="204">
        <v>7162</v>
      </c>
      <c r="F467" s="205">
        <f>D467/E467</f>
        <v>1.1129572745043284</v>
      </c>
      <c r="G467" s="206">
        <v>6854</v>
      </c>
      <c r="H467" s="204">
        <v>6468</v>
      </c>
      <c r="I467" s="207">
        <f>G467/D467</f>
        <v>0.85986701794003262</v>
      </c>
      <c r="J467" s="207">
        <f>+H467/E467</f>
        <v>0.90309969282323377</v>
      </c>
      <c r="K467" s="206">
        <v>6266</v>
      </c>
      <c r="L467" s="206">
        <v>5636</v>
      </c>
      <c r="M467" s="207">
        <f>+K467/E467</f>
        <v>0.8748952806478637</v>
      </c>
      <c r="N467" s="208">
        <f>K467/H467</f>
        <v>0.96876932591218301</v>
      </c>
    </row>
    <row r="468" spans="1:14" ht="12.75" customHeight="1" x14ac:dyDescent="0.2">
      <c r="A468" s="687"/>
      <c r="B468" s="691" t="s">
        <v>49</v>
      </c>
      <c r="C468" s="158" t="s">
        <v>51</v>
      </c>
      <c r="D468" s="209">
        <v>7971</v>
      </c>
      <c r="E468" s="210">
        <v>7162</v>
      </c>
      <c r="F468" s="211">
        <f>D468/E468</f>
        <v>1.1129572745043284</v>
      </c>
      <c r="G468" s="212">
        <v>6854</v>
      </c>
      <c r="H468" s="210">
        <v>6468</v>
      </c>
      <c r="I468" s="213">
        <f>G468/D468</f>
        <v>0.85986701794003262</v>
      </c>
      <c r="J468" s="213">
        <f>+H468/E468</f>
        <v>0.90309969282323377</v>
      </c>
      <c r="K468" s="212">
        <v>6266</v>
      </c>
      <c r="L468" s="212">
        <v>5636</v>
      </c>
      <c r="M468" s="213">
        <f>+K468/E468</f>
        <v>0.8748952806478637</v>
      </c>
      <c r="N468" s="214">
        <f>K468/H468</f>
        <v>0.96876932591218301</v>
      </c>
    </row>
    <row r="469" spans="1:14" ht="12.75" customHeight="1" x14ac:dyDescent="0.2">
      <c r="A469" s="687"/>
      <c r="B469" s="692"/>
      <c r="C469" s="165" t="s">
        <v>52</v>
      </c>
      <c r="D469" s="215" t="s">
        <v>68</v>
      </c>
      <c r="E469" s="216" t="s">
        <v>68</v>
      </c>
      <c r="F469" s="217" t="s">
        <v>67</v>
      </c>
      <c r="G469" s="218" t="s">
        <v>68</v>
      </c>
      <c r="H469" s="216" t="s">
        <v>67</v>
      </c>
      <c r="I469" s="219" t="s">
        <v>67</v>
      </c>
      <c r="J469" s="219" t="s">
        <v>67</v>
      </c>
      <c r="K469" s="218" t="s">
        <v>68</v>
      </c>
      <c r="L469" s="218" t="s">
        <v>68</v>
      </c>
      <c r="M469" s="219" t="s">
        <v>67</v>
      </c>
      <c r="N469" s="220" t="s">
        <v>67</v>
      </c>
    </row>
    <row r="470" spans="1:14" ht="12.75" customHeight="1" x14ac:dyDescent="0.2">
      <c r="A470" s="687"/>
      <c r="B470" s="689" t="s">
        <v>53</v>
      </c>
      <c r="C470" s="690"/>
      <c r="D470" s="203">
        <v>11538</v>
      </c>
      <c r="E470" s="204">
        <v>11060</v>
      </c>
      <c r="F470" s="205">
        <f>D470/E470</f>
        <v>1.0432188065099457</v>
      </c>
      <c r="G470" s="206">
        <v>10576</v>
      </c>
      <c r="H470" s="204">
        <v>10331</v>
      </c>
      <c r="I470" s="207">
        <f>G470/D470</f>
        <v>0.9166233315999307</v>
      </c>
      <c r="J470" s="207">
        <f>+H470/E470</f>
        <v>0.93408679927667271</v>
      </c>
      <c r="K470" s="206">
        <v>10091</v>
      </c>
      <c r="L470" s="206">
        <v>9299</v>
      </c>
      <c r="M470" s="207">
        <f>+K470/E470</f>
        <v>0.91238698010849906</v>
      </c>
      <c r="N470" s="208">
        <f>K470/H470</f>
        <v>0.97676894782692869</v>
      </c>
    </row>
    <row r="471" spans="1:14" ht="12.75" customHeight="1" x14ac:dyDescent="0.2">
      <c r="A471" s="687"/>
      <c r="B471" s="691" t="s">
        <v>49</v>
      </c>
      <c r="C471" s="158" t="s">
        <v>51</v>
      </c>
      <c r="D471" s="209">
        <v>11454</v>
      </c>
      <c r="E471" s="210">
        <v>10976</v>
      </c>
      <c r="F471" s="211">
        <f>D471/E471</f>
        <v>1.0435495626822158</v>
      </c>
      <c r="G471" s="212">
        <v>10492</v>
      </c>
      <c r="H471" s="210">
        <v>10247</v>
      </c>
      <c r="I471" s="213">
        <f>G471/D471</f>
        <v>0.91601187358128167</v>
      </c>
      <c r="J471" s="213">
        <f>+H471/E471</f>
        <v>0.93358236151603502</v>
      </c>
      <c r="K471" s="212">
        <v>10011</v>
      </c>
      <c r="L471" s="212">
        <v>9219</v>
      </c>
      <c r="M471" s="213">
        <f>+K471/E471</f>
        <v>0.91208090379008744</v>
      </c>
      <c r="N471" s="214">
        <f>K471/H471</f>
        <v>0.97696886893724988</v>
      </c>
    </row>
    <row r="472" spans="1:14" ht="12.75" customHeight="1" thickBot="1" x14ac:dyDescent="0.25">
      <c r="A472" s="688"/>
      <c r="B472" s="693"/>
      <c r="C472" s="185" t="s">
        <v>52</v>
      </c>
      <c r="D472" s="227">
        <v>84</v>
      </c>
      <c r="E472" s="228">
        <v>84</v>
      </c>
      <c r="F472" s="229">
        <f>D472/E472</f>
        <v>1</v>
      </c>
      <c r="G472" s="230">
        <v>84</v>
      </c>
      <c r="H472" s="228">
        <v>84</v>
      </c>
      <c r="I472" s="231">
        <f>G472/D472</f>
        <v>1</v>
      </c>
      <c r="J472" s="231">
        <f>+H472/E472</f>
        <v>1</v>
      </c>
      <c r="K472" s="230">
        <v>80</v>
      </c>
      <c r="L472" s="230">
        <v>80</v>
      </c>
      <c r="M472" s="231">
        <f>+K472/E472</f>
        <v>0.95238095238095233</v>
      </c>
      <c r="N472" s="232">
        <f>K472/H472</f>
        <v>0.95238095238095233</v>
      </c>
    </row>
    <row r="473" spans="1:14" ht="12.75" customHeight="1" thickTop="1" thickBot="1" x14ac:dyDescent="0.25">
      <c r="A473" s="708" t="s">
        <v>14</v>
      </c>
      <c r="B473" s="709"/>
      <c r="C473" s="709"/>
      <c r="D473" s="709"/>
      <c r="E473" s="709"/>
      <c r="F473" s="709"/>
      <c r="G473" s="709"/>
      <c r="H473" s="709"/>
      <c r="I473" s="709"/>
      <c r="J473" s="709"/>
      <c r="K473" s="709"/>
      <c r="L473" s="709"/>
      <c r="M473" s="709"/>
      <c r="N473" s="710"/>
    </row>
    <row r="474" spans="1:14" ht="12.75" customHeight="1" x14ac:dyDescent="0.2">
      <c r="A474" s="143" t="s">
        <v>48</v>
      </c>
      <c r="B474" s="144"/>
      <c r="C474" s="145"/>
      <c r="D474" s="197">
        <v>18481</v>
      </c>
      <c r="E474" s="198">
        <v>17101</v>
      </c>
      <c r="F474" s="199">
        <f>D474/E474</f>
        <v>1.0806970352610958</v>
      </c>
      <c r="G474" s="198">
        <v>17336</v>
      </c>
      <c r="H474" s="200">
        <v>16369</v>
      </c>
      <c r="I474" s="201">
        <f t="shared" ref="I474:I480" si="227">G474/D474</f>
        <v>0.93804447811265623</v>
      </c>
      <c r="J474" s="201">
        <f t="shared" ref="J474:J480" si="228">+H474/E474</f>
        <v>0.95719548564411439</v>
      </c>
      <c r="K474" s="198">
        <v>15007</v>
      </c>
      <c r="L474" s="200">
        <v>13919</v>
      </c>
      <c r="M474" s="201">
        <f t="shared" ref="M474:M480" si="229">+K474/E474</f>
        <v>0.87755102040816324</v>
      </c>
      <c r="N474" s="202">
        <f t="shared" ref="N474:N480" si="230">K474/H474</f>
        <v>0.91679393976418844</v>
      </c>
    </row>
    <row r="475" spans="1:14" ht="12.75" customHeight="1" x14ac:dyDescent="0.2">
      <c r="A475" s="686" t="s">
        <v>49</v>
      </c>
      <c r="B475" s="689" t="s">
        <v>50</v>
      </c>
      <c r="C475" s="690"/>
      <c r="D475" s="203">
        <v>8265</v>
      </c>
      <c r="E475" s="204">
        <v>7462</v>
      </c>
      <c r="F475" s="205">
        <f>D475/E475</f>
        <v>1.107611900294827</v>
      </c>
      <c r="G475" s="206">
        <v>7592</v>
      </c>
      <c r="H475" s="204">
        <v>7051</v>
      </c>
      <c r="I475" s="207">
        <f t="shared" si="227"/>
        <v>0.91857229280096797</v>
      </c>
      <c r="J475" s="207">
        <f t="shared" si="228"/>
        <v>0.94492093272581079</v>
      </c>
      <c r="K475" s="206">
        <v>6398</v>
      </c>
      <c r="L475" s="206">
        <v>5848</v>
      </c>
      <c r="M475" s="207">
        <f t="shared" si="229"/>
        <v>0.85741088180112568</v>
      </c>
      <c r="N475" s="208">
        <f t="shared" si="230"/>
        <v>0.90738902283364065</v>
      </c>
    </row>
    <row r="476" spans="1:14" ht="12.75" customHeight="1" x14ac:dyDescent="0.2">
      <c r="A476" s="687"/>
      <c r="B476" s="691" t="s">
        <v>49</v>
      </c>
      <c r="C476" s="158" t="s">
        <v>51</v>
      </c>
      <c r="D476" s="209">
        <v>8265</v>
      </c>
      <c r="E476" s="210">
        <v>7462</v>
      </c>
      <c r="F476" s="211">
        <f>D476/E476</f>
        <v>1.107611900294827</v>
      </c>
      <c r="G476" s="212">
        <v>7592</v>
      </c>
      <c r="H476" s="210">
        <v>7051</v>
      </c>
      <c r="I476" s="213">
        <f t="shared" si="227"/>
        <v>0.91857229280096797</v>
      </c>
      <c r="J476" s="213">
        <f t="shared" si="228"/>
        <v>0.94492093272581079</v>
      </c>
      <c r="K476" s="212">
        <v>6398</v>
      </c>
      <c r="L476" s="212">
        <v>5848</v>
      </c>
      <c r="M476" s="213">
        <f t="shared" si="229"/>
        <v>0.85741088180112568</v>
      </c>
      <c r="N476" s="214">
        <f t="shared" si="230"/>
        <v>0.90738902283364065</v>
      </c>
    </row>
    <row r="477" spans="1:14" ht="12.75" customHeight="1" x14ac:dyDescent="0.2">
      <c r="A477" s="687"/>
      <c r="B477" s="692"/>
      <c r="C477" s="165" t="s">
        <v>52</v>
      </c>
      <c r="D477" s="215" t="s">
        <v>68</v>
      </c>
      <c r="E477" s="216" t="s">
        <v>68</v>
      </c>
      <c r="F477" s="218" t="s">
        <v>67</v>
      </c>
      <c r="G477" s="218" t="s">
        <v>68</v>
      </c>
      <c r="H477" s="216" t="s">
        <v>67</v>
      </c>
      <c r="I477" s="219" t="s">
        <v>67</v>
      </c>
      <c r="J477" s="219" t="s">
        <v>67</v>
      </c>
      <c r="K477" s="218" t="s">
        <v>68</v>
      </c>
      <c r="L477" s="233" t="s">
        <v>68</v>
      </c>
      <c r="M477" s="219" t="s">
        <v>67</v>
      </c>
      <c r="N477" s="220" t="s">
        <v>67</v>
      </c>
    </row>
    <row r="478" spans="1:14" ht="12.75" customHeight="1" x14ac:dyDescent="0.2">
      <c r="A478" s="687"/>
      <c r="B478" s="689" t="s">
        <v>53</v>
      </c>
      <c r="C478" s="690"/>
      <c r="D478" s="203">
        <v>10216</v>
      </c>
      <c r="E478" s="204">
        <v>9816</v>
      </c>
      <c r="F478" s="205">
        <f>D478/E478</f>
        <v>1.0407497962510188</v>
      </c>
      <c r="G478" s="206">
        <v>9744</v>
      </c>
      <c r="H478" s="204">
        <v>9460</v>
      </c>
      <c r="I478" s="207">
        <f t="shared" si="227"/>
        <v>0.95379796397807359</v>
      </c>
      <c r="J478" s="207">
        <f t="shared" si="228"/>
        <v>0.96373268133659329</v>
      </c>
      <c r="K478" s="206">
        <v>8689</v>
      </c>
      <c r="L478" s="206">
        <v>8099</v>
      </c>
      <c r="M478" s="207">
        <f t="shared" si="229"/>
        <v>0.88518744906275471</v>
      </c>
      <c r="N478" s="208">
        <f t="shared" si="230"/>
        <v>0.91849894291754752</v>
      </c>
    </row>
    <row r="479" spans="1:14" ht="12.75" customHeight="1" x14ac:dyDescent="0.2">
      <c r="A479" s="687"/>
      <c r="B479" s="691" t="s">
        <v>49</v>
      </c>
      <c r="C479" s="158" t="s">
        <v>51</v>
      </c>
      <c r="D479" s="209">
        <v>10127</v>
      </c>
      <c r="E479" s="210">
        <v>9729</v>
      </c>
      <c r="F479" s="211">
        <f>D479/E479</f>
        <v>1.0409086237023333</v>
      </c>
      <c r="G479" s="212">
        <v>9655</v>
      </c>
      <c r="H479" s="210">
        <v>9373</v>
      </c>
      <c r="I479" s="213">
        <f t="shared" si="227"/>
        <v>0.9533919225831935</v>
      </c>
      <c r="J479" s="213">
        <f t="shared" si="228"/>
        <v>0.96340836673861652</v>
      </c>
      <c r="K479" s="212">
        <v>8605</v>
      </c>
      <c r="L479" s="212">
        <v>8015</v>
      </c>
      <c r="M479" s="213">
        <f t="shared" si="229"/>
        <v>0.88446911296124986</v>
      </c>
      <c r="N479" s="214">
        <f t="shared" si="230"/>
        <v>0.91806252000426758</v>
      </c>
    </row>
    <row r="480" spans="1:14" ht="12.75" customHeight="1" thickBot="1" x14ac:dyDescent="0.25">
      <c r="A480" s="688"/>
      <c r="B480" s="693"/>
      <c r="C480" s="185" t="s">
        <v>52</v>
      </c>
      <c r="D480" s="227">
        <v>89</v>
      </c>
      <c r="E480" s="228">
        <v>87</v>
      </c>
      <c r="F480" s="229">
        <f>D480/E480</f>
        <v>1.0229885057471264</v>
      </c>
      <c r="G480" s="230">
        <v>89</v>
      </c>
      <c r="H480" s="228">
        <v>87</v>
      </c>
      <c r="I480" s="231">
        <f t="shared" si="227"/>
        <v>1</v>
      </c>
      <c r="J480" s="231">
        <f t="shared" si="228"/>
        <v>1</v>
      </c>
      <c r="K480" s="230">
        <v>84</v>
      </c>
      <c r="L480" s="230">
        <v>84</v>
      </c>
      <c r="M480" s="231">
        <f t="shared" si="229"/>
        <v>0.96551724137931039</v>
      </c>
      <c r="N480" s="232">
        <f t="shared" si="230"/>
        <v>0.96551724137931039</v>
      </c>
    </row>
    <row r="481" spans="1:14" ht="12.75" customHeight="1" thickTop="1" thickBot="1" x14ac:dyDescent="0.25">
      <c r="A481" s="708" t="s">
        <v>15</v>
      </c>
      <c r="B481" s="709"/>
      <c r="C481" s="709"/>
      <c r="D481" s="709"/>
      <c r="E481" s="709"/>
      <c r="F481" s="709"/>
      <c r="G481" s="709"/>
      <c r="H481" s="709"/>
      <c r="I481" s="709"/>
      <c r="J481" s="709"/>
      <c r="K481" s="709"/>
      <c r="L481" s="709"/>
      <c r="M481" s="709"/>
      <c r="N481" s="710"/>
    </row>
    <row r="482" spans="1:14" ht="12.75" customHeight="1" x14ac:dyDescent="0.2">
      <c r="A482" s="143" t="s">
        <v>48</v>
      </c>
      <c r="B482" s="144"/>
      <c r="C482" s="145"/>
      <c r="D482" s="197">
        <v>18306</v>
      </c>
      <c r="E482" s="198">
        <v>16724</v>
      </c>
      <c r="F482" s="199">
        <f>D482/E482</f>
        <v>1.0945945945945945</v>
      </c>
      <c r="G482" s="198">
        <v>16284</v>
      </c>
      <c r="H482" s="200">
        <v>15324</v>
      </c>
      <c r="I482" s="201">
        <f>G482/D482</f>
        <v>0.88954441166830545</v>
      </c>
      <c r="J482" s="201">
        <f>+H482/E482</f>
        <v>0.91628796938531454</v>
      </c>
      <c r="K482" s="198">
        <v>14352</v>
      </c>
      <c r="L482" s="200">
        <v>13222</v>
      </c>
      <c r="M482" s="201">
        <f>+K482/E482</f>
        <v>0.85816790241569008</v>
      </c>
      <c r="N482" s="202">
        <f>K482/H482</f>
        <v>0.93657008613938919</v>
      </c>
    </row>
    <row r="483" spans="1:14" ht="12.75" customHeight="1" x14ac:dyDescent="0.2">
      <c r="A483" s="686" t="s">
        <v>49</v>
      </c>
      <c r="B483" s="689" t="s">
        <v>50</v>
      </c>
      <c r="C483" s="690"/>
      <c r="D483" s="203">
        <v>8465</v>
      </c>
      <c r="E483" s="204">
        <v>7555</v>
      </c>
      <c r="F483" s="205">
        <f>D483/E483</f>
        <v>1.1204500330906684</v>
      </c>
      <c r="G483" s="206">
        <v>7452</v>
      </c>
      <c r="H483" s="204">
        <v>6896</v>
      </c>
      <c r="I483" s="207">
        <f>G483/D483</f>
        <v>0.88033077377436508</v>
      </c>
      <c r="J483" s="207">
        <f>+H483/E483</f>
        <v>0.91277299801455991</v>
      </c>
      <c r="K483" s="206">
        <v>6375</v>
      </c>
      <c r="L483" s="206">
        <v>5847</v>
      </c>
      <c r="M483" s="207">
        <f>+K483/E483</f>
        <v>0.84381204500330909</v>
      </c>
      <c r="N483" s="208">
        <f>K483/H483</f>
        <v>0.92444895591647336</v>
      </c>
    </row>
    <row r="484" spans="1:14" ht="12.75" customHeight="1" x14ac:dyDescent="0.2">
      <c r="A484" s="687"/>
      <c r="B484" s="691" t="s">
        <v>49</v>
      </c>
      <c r="C484" s="158" t="s">
        <v>51</v>
      </c>
      <c r="D484" s="209">
        <v>8465</v>
      </c>
      <c r="E484" s="210">
        <v>7555</v>
      </c>
      <c r="F484" s="211">
        <f>D484/E484</f>
        <v>1.1204500330906684</v>
      </c>
      <c r="G484" s="212">
        <v>7452</v>
      </c>
      <c r="H484" s="210">
        <v>6896</v>
      </c>
      <c r="I484" s="213">
        <f>G484/D484</f>
        <v>0.88033077377436508</v>
      </c>
      <c r="J484" s="213">
        <f>+H484/E484</f>
        <v>0.91277299801455991</v>
      </c>
      <c r="K484" s="212">
        <v>6375</v>
      </c>
      <c r="L484" s="212">
        <v>5847</v>
      </c>
      <c r="M484" s="213">
        <f>+K484/E484</f>
        <v>0.84381204500330909</v>
      </c>
      <c r="N484" s="214">
        <f>K484/H484</f>
        <v>0.92444895591647336</v>
      </c>
    </row>
    <row r="485" spans="1:14" ht="12.75" customHeight="1" x14ac:dyDescent="0.2">
      <c r="A485" s="687"/>
      <c r="B485" s="692"/>
      <c r="C485" s="165" t="s">
        <v>52</v>
      </c>
      <c r="D485" s="215">
        <v>0</v>
      </c>
      <c r="E485" s="216">
        <v>0</v>
      </c>
      <c r="F485" s="218" t="s">
        <v>67</v>
      </c>
      <c r="G485" s="218">
        <v>0</v>
      </c>
      <c r="H485" s="216">
        <v>0</v>
      </c>
      <c r="I485" s="219" t="s">
        <v>67</v>
      </c>
      <c r="J485" s="219" t="s">
        <v>67</v>
      </c>
      <c r="K485" s="218">
        <v>0</v>
      </c>
      <c r="L485" s="233">
        <v>0</v>
      </c>
      <c r="M485" s="219" t="s">
        <v>67</v>
      </c>
      <c r="N485" s="220" t="s">
        <v>67</v>
      </c>
    </row>
    <row r="486" spans="1:14" ht="12.75" customHeight="1" x14ac:dyDescent="0.2">
      <c r="A486" s="687"/>
      <c r="B486" s="689" t="s">
        <v>53</v>
      </c>
      <c r="C486" s="690"/>
      <c r="D486" s="203">
        <v>9841</v>
      </c>
      <c r="E486" s="204">
        <v>9372</v>
      </c>
      <c r="F486" s="205">
        <f>D486/E486</f>
        <v>1.0500426803243705</v>
      </c>
      <c r="G486" s="206">
        <v>8832</v>
      </c>
      <c r="H486" s="204">
        <v>8550</v>
      </c>
      <c r="I486" s="207">
        <f>G486/D486</f>
        <v>0.89746976933238487</v>
      </c>
      <c r="J486" s="207">
        <f>+H486/E486</f>
        <v>0.91229193341869397</v>
      </c>
      <c r="K486" s="206">
        <v>8041</v>
      </c>
      <c r="L486" s="206">
        <v>7386</v>
      </c>
      <c r="M486" s="207">
        <f>+K486/E486</f>
        <v>0.857981220657277</v>
      </c>
      <c r="N486" s="208">
        <f>K486/H486</f>
        <v>0.9404678362573099</v>
      </c>
    </row>
    <row r="487" spans="1:14" ht="12.75" customHeight="1" x14ac:dyDescent="0.2">
      <c r="A487" s="687"/>
      <c r="B487" s="691" t="s">
        <v>49</v>
      </c>
      <c r="C487" s="158" t="s">
        <v>51</v>
      </c>
      <c r="D487" s="209">
        <v>9769</v>
      </c>
      <c r="E487" s="210">
        <v>9301</v>
      </c>
      <c r="F487" s="211">
        <f>D487/E487</f>
        <v>1.0503171701967531</v>
      </c>
      <c r="G487" s="212">
        <v>8760</v>
      </c>
      <c r="H487" s="210">
        <v>8479</v>
      </c>
      <c r="I487" s="213">
        <f>G487/D487</f>
        <v>0.89671409560855764</v>
      </c>
      <c r="J487" s="213">
        <f>+H487/E487</f>
        <v>0.91162240619288248</v>
      </c>
      <c r="K487" s="212">
        <v>7970</v>
      </c>
      <c r="L487" s="212">
        <v>7315</v>
      </c>
      <c r="M487" s="213">
        <f>+K487/E487</f>
        <v>0.85689710783786688</v>
      </c>
      <c r="N487" s="214">
        <f>K487/H487</f>
        <v>0.93996933600660459</v>
      </c>
    </row>
    <row r="488" spans="1:14" ht="12.75" customHeight="1" thickBot="1" x14ac:dyDescent="0.25">
      <c r="A488" s="688"/>
      <c r="B488" s="693"/>
      <c r="C488" s="185" t="s">
        <v>52</v>
      </c>
      <c r="D488" s="227">
        <v>72</v>
      </c>
      <c r="E488" s="228">
        <v>71</v>
      </c>
      <c r="F488" s="229">
        <f>D488/E488</f>
        <v>1.0140845070422535</v>
      </c>
      <c r="G488" s="230">
        <v>72</v>
      </c>
      <c r="H488" s="228">
        <v>71</v>
      </c>
      <c r="I488" s="231">
        <f>G488/D488</f>
        <v>1</v>
      </c>
      <c r="J488" s="231">
        <f>+H488/E488</f>
        <v>1</v>
      </c>
      <c r="K488" s="230">
        <v>71</v>
      </c>
      <c r="L488" s="230">
        <v>71</v>
      </c>
      <c r="M488" s="231">
        <f>+K488/E488</f>
        <v>1</v>
      </c>
      <c r="N488" s="232">
        <f>K488/H488</f>
        <v>1</v>
      </c>
    </row>
    <row r="489" spans="1:14" ht="12.75" customHeight="1" thickTop="1" thickBot="1" x14ac:dyDescent="0.25">
      <c r="A489" s="708" t="s">
        <v>16</v>
      </c>
      <c r="B489" s="709"/>
      <c r="C489" s="709"/>
      <c r="D489" s="709"/>
      <c r="E489" s="709"/>
      <c r="F489" s="709"/>
      <c r="G489" s="709"/>
      <c r="H489" s="709"/>
      <c r="I489" s="709"/>
      <c r="J489" s="709"/>
      <c r="K489" s="709"/>
      <c r="L489" s="709"/>
      <c r="M489" s="709"/>
      <c r="N489" s="710"/>
    </row>
    <row r="490" spans="1:14" ht="12.75" customHeight="1" x14ac:dyDescent="0.2">
      <c r="A490" s="143" t="s">
        <v>48</v>
      </c>
      <c r="B490" s="144"/>
      <c r="C490" s="145"/>
      <c r="D490" s="197">
        <v>15890</v>
      </c>
      <c r="E490" s="198">
        <v>14616</v>
      </c>
      <c r="F490" s="199">
        <f>D490/E490</f>
        <v>1.0871647509578544</v>
      </c>
      <c r="G490" s="198">
        <v>13680</v>
      </c>
      <c r="H490" s="200">
        <v>13051</v>
      </c>
      <c r="I490" s="201">
        <f>G490/D490</f>
        <v>0.8609188168659534</v>
      </c>
      <c r="J490" s="201">
        <f>+H490/E490</f>
        <v>0.89292556102900933</v>
      </c>
      <c r="K490" s="198">
        <v>12266</v>
      </c>
      <c r="L490" s="200">
        <v>11208</v>
      </c>
      <c r="M490" s="201">
        <f>+K490/E490</f>
        <v>0.83921729611384788</v>
      </c>
      <c r="N490" s="202">
        <f>K490/H490</f>
        <v>0.9398513523867903</v>
      </c>
    </row>
    <row r="491" spans="1:14" ht="12.75" customHeight="1" x14ac:dyDescent="0.2">
      <c r="A491" s="686" t="s">
        <v>49</v>
      </c>
      <c r="B491" s="689" t="s">
        <v>50</v>
      </c>
      <c r="C491" s="690"/>
      <c r="D491" s="203">
        <v>7636</v>
      </c>
      <c r="E491" s="204">
        <v>6886</v>
      </c>
      <c r="F491" s="205">
        <f>D491/E491</f>
        <v>1.1089166424629684</v>
      </c>
      <c r="G491" s="206">
        <v>6446</v>
      </c>
      <c r="H491" s="204">
        <v>6070</v>
      </c>
      <c r="I491" s="207">
        <f>G491/D491</f>
        <v>0.84415924567836564</v>
      </c>
      <c r="J491" s="207">
        <f>+H491/E491</f>
        <v>0.88149869300029049</v>
      </c>
      <c r="K491" s="206">
        <v>5630</v>
      </c>
      <c r="L491" s="206">
        <v>5054</v>
      </c>
      <c r="M491" s="207">
        <f>+K491/E491</f>
        <v>0.81760092942201568</v>
      </c>
      <c r="N491" s="208">
        <f>K491/H491</f>
        <v>0.92751235584843494</v>
      </c>
    </row>
    <row r="492" spans="1:14" ht="12.75" customHeight="1" x14ac:dyDescent="0.2">
      <c r="A492" s="687"/>
      <c r="B492" s="691" t="s">
        <v>49</v>
      </c>
      <c r="C492" s="158" t="s">
        <v>51</v>
      </c>
      <c r="D492" s="209">
        <v>7636</v>
      </c>
      <c r="E492" s="210">
        <v>6886</v>
      </c>
      <c r="F492" s="211">
        <f>D492/E492</f>
        <v>1.1089166424629684</v>
      </c>
      <c r="G492" s="212">
        <v>6446</v>
      </c>
      <c r="H492" s="210">
        <v>6070</v>
      </c>
      <c r="I492" s="213">
        <f>G492/D492</f>
        <v>0.84415924567836564</v>
      </c>
      <c r="J492" s="213">
        <f>+H492/E492</f>
        <v>0.88149869300029049</v>
      </c>
      <c r="K492" s="212">
        <v>5630</v>
      </c>
      <c r="L492" s="212">
        <v>5054</v>
      </c>
      <c r="M492" s="213">
        <f>+K492/E492</f>
        <v>0.81760092942201568</v>
      </c>
      <c r="N492" s="214">
        <f>K492/H492</f>
        <v>0.92751235584843494</v>
      </c>
    </row>
    <row r="493" spans="1:14" ht="12.75" customHeight="1" x14ac:dyDescent="0.2">
      <c r="A493" s="687"/>
      <c r="B493" s="692"/>
      <c r="C493" s="165" t="s">
        <v>52</v>
      </c>
      <c r="D493" s="215">
        <v>0</v>
      </c>
      <c r="E493" s="216">
        <v>0</v>
      </c>
      <c r="F493" s="218" t="s">
        <v>67</v>
      </c>
      <c r="G493" s="218">
        <v>0</v>
      </c>
      <c r="H493" s="216">
        <v>0</v>
      </c>
      <c r="I493" s="219" t="s">
        <v>67</v>
      </c>
      <c r="J493" s="219" t="s">
        <v>67</v>
      </c>
      <c r="K493" s="218">
        <v>0</v>
      </c>
      <c r="L493" s="233">
        <v>0</v>
      </c>
      <c r="M493" s="219" t="s">
        <v>67</v>
      </c>
      <c r="N493" s="220" t="s">
        <v>67</v>
      </c>
    </row>
    <row r="494" spans="1:14" ht="12.75" customHeight="1" x14ac:dyDescent="0.2">
      <c r="A494" s="687"/>
      <c r="B494" s="689" t="s">
        <v>53</v>
      </c>
      <c r="C494" s="690"/>
      <c r="D494" s="203">
        <v>8254</v>
      </c>
      <c r="E494" s="204">
        <v>7926</v>
      </c>
      <c r="F494" s="205">
        <f>D494/E494</f>
        <v>1.041382790815039</v>
      </c>
      <c r="G494" s="206">
        <v>7234</v>
      </c>
      <c r="H494" s="204">
        <v>7077</v>
      </c>
      <c r="I494" s="207">
        <f>G494/D494</f>
        <v>0.87642355221710688</v>
      </c>
      <c r="J494" s="207">
        <f>+H494/E494</f>
        <v>0.892884178652536</v>
      </c>
      <c r="K494" s="206">
        <v>6692</v>
      </c>
      <c r="L494" s="206">
        <v>6168</v>
      </c>
      <c r="M494" s="207">
        <f>+K494/E494</f>
        <v>0.84430986626293214</v>
      </c>
      <c r="N494" s="208">
        <f>K494/H494</f>
        <v>0.94559841740850648</v>
      </c>
    </row>
    <row r="495" spans="1:14" ht="12.75" customHeight="1" x14ac:dyDescent="0.2">
      <c r="A495" s="687"/>
      <c r="B495" s="691" t="s">
        <v>49</v>
      </c>
      <c r="C495" s="158" t="s">
        <v>51</v>
      </c>
      <c r="D495" s="209">
        <v>8119</v>
      </c>
      <c r="E495" s="210">
        <v>7792</v>
      </c>
      <c r="F495" s="211">
        <f>D495/E495</f>
        <v>1.0419661190965093</v>
      </c>
      <c r="G495" s="212">
        <v>7099</v>
      </c>
      <c r="H495" s="210">
        <v>6943</v>
      </c>
      <c r="I495" s="213">
        <f>G495/D495</f>
        <v>0.87436876462618551</v>
      </c>
      <c r="J495" s="213">
        <f>+H495/E495</f>
        <v>0.89104209445585214</v>
      </c>
      <c r="K495" s="212">
        <v>6564</v>
      </c>
      <c r="L495" s="212">
        <v>6040</v>
      </c>
      <c r="M495" s="213">
        <f>+K495/E495</f>
        <v>0.8424024640657084</v>
      </c>
      <c r="N495" s="214">
        <f>K495/H495</f>
        <v>0.94541264583033269</v>
      </c>
    </row>
    <row r="496" spans="1:14" ht="12.75" customHeight="1" thickBot="1" x14ac:dyDescent="0.25">
      <c r="A496" s="688"/>
      <c r="B496" s="693"/>
      <c r="C496" s="185" t="s">
        <v>52</v>
      </c>
      <c r="D496" s="227">
        <v>135</v>
      </c>
      <c r="E496" s="228">
        <v>134</v>
      </c>
      <c r="F496" s="229">
        <f>D496/E496</f>
        <v>1.0074626865671641</v>
      </c>
      <c r="G496" s="230">
        <v>135</v>
      </c>
      <c r="H496" s="228">
        <v>134</v>
      </c>
      <c r="I496" s="231">
        <f>G496/D496</f>
        <v>1</v>
      </c>
      <c r="J496" s="231">
        <f>+H496/E496</f>
        <v>1</v>
      </c>
      <c r="K496" s="230">
        <v>128</v>
      </c>
      <c r="L496" s="230">
        <v>128</v>
      </c>
      <c r="M496" s="231">
        <f>+K496/E496</f>
        <v>0.95522388059701491</v>
      </c>
      <c r="N496" s="232">
        <f>K496/H496</f>
        <v>0.95522388059701491</v>
      </c>
    </row>
    <row r="497" spans="1:14" ht="12.75" customHeight="1" thickTop="1" thickBot="1" x14ac:dyDescent="0.25">
      <c r="A497" s="708" t="s">
        <v>17</v>
      </c>
      <c r="B497" s="709"/>
      <c r="C497" s="709"/>
      <c r="D497" s="709"/>
      <c r="E497" s="709"/>
      <c r="F497" s="709"/>
      <c r="G497" s="709"/>
      <c r="H497" s="709"/>
      <c r="I497" s="709"/>
      <c r="J497" s="709"/>
      <c r="K497" s="709"/>
      <c r="L497" s="709"/>
      <c r="M497" s="709"/>
      <c r="N497" s="710"/>
    </row>
    <row r="498" spans="1:14" ht="12.75" customHeight="1" x14ac:dyDescent="0.2">
      <c r="A498" s="143" t="s">
        <v>48</v>
      </c>
      <c r="B498" s="144"/>
      <c r="C498" s="145"/>
      <c r="D498" s="197">
        <v>14282</v>
      </c>
      <c r="E498" s="198">
        <v>13100</v>
      </c>
      <c r="F498" s="199">
        <f>D498/E498</f>
        <v>1.0902290076335879</v>
      </c>
      <c r="G498" s="198">
        <v>11366</v>
      </c>
      <c r="H498" s="200">
        <v>11772</v>
      </c>
      <c r="I498" s="201">
        <f>G498/D498</f>
        <v>0.79582691499789948</v>
      </c>
      <c r="J498" s="201">
        <f>+H498/E498</f>
        <v>0.89862595419847324</v>
      </c>
      <c r="K498" s="198">
        <v>10906</v>
      </c>
      <c r="L498" s="200">
        <v>10085</v>
      </c>
      <c r="M498" s="201">
        <f>+K498/E498</f>
        <v>0.83251908396946561</v>
      </c>
      <c r="N498" s="202">
        <f>K498/H498</f>
        <v>0.92643560992184848</v>
      </c>
    </row>
    <row r="499" spans="1:14" ht="12.75" customHeight="1" x14ac:dyDescent="0.2">
      <c r="A499" s="686" t="s">
        <v>49</v>
      </c>
      <c r="B499" s="689" t="s">
        <v>50</v>
      </c>
      <c r="C499" s="690"/>
      <c r="D499" s="203">
        <v>7040</v>
      </c>
      <c r="E499" s="204">
        <v>6301</v>
      </c>
      <c r="F499" s="205">
        <f>D499/E499</f>
        <v>1.1172829709569909</v>
      </c>
      <c r="G499" s="206">
        <v>5386</v>
      </c>
      <c r="H499" s="204">
        <v>5621</v>
      </c>
      <c r="I499" s="207">
        <f>G499/D499</f>
        <v>0.76505681818181814</v>
      </c>
      <c r="J499" s="207">
        <f>+H499/E499</f>
        <v>0.8920806221234725</v>
      </c>
      <c r="K499" s="206">
        <v>5115</v>
      </c>
      <c r="L499" s="206">
        <v>4657</v>
      </c>
      <c r="M499" s="207">
        <f>+K499/E499</f>
        <v>0.81177590858593873</v>
      </c>
      <c r="N499" s="208">
        <f>K499/H499</f>
        <v>0.90998043052837574</v>
      </c>
    </row>
    <row r="500" spans="1:14" ht="12.75" customHeight="1" x14ac:dyDescent="0.2">
      <c r="A500" s="687"/>
      <c r="B500" s="691" t="s">
        <v>49</v>
      </c>
      <c r="C500" s="158" t="s">
        <v>51</v>
      </c>
      <c r="D500" s="209">
        <v>7040</v>
      </c>
      <c r="E500" s="210">
        <v>6301</v>
      </c>
      <c r="F500" s="211">
        <f>D500/E500</f>
        <v>1.1172829709569909</v>
      </c>
      <c r="G500" s="212">
        <v>5386</v>
      </c>
      <c r="H500" s="210">
        <v>5621</v>
      </c>
      <c r="I500" s="213">
        <f>G500/D500</f>
        <v>0.76505681818181814</v>
      </c>
      <c r="J500" s="213">
        <f>+H500/E500</f>
        <v>0.8920806221234725</v>
      </c>
      <c r="K500" s="212">
        <v>5115</v>
      </c>
      <c r="L500" s="212">
        <v>4657</v>
      </c>
      <c r="M500" s="213">
        <f>+K500/E500</f>
        <v>0.81177590858593873</v>
      </c>
      <c r="N500" s="214">
        <f>K500/H500</f>
        <v>0.90998043052837574</v>
      </c>
    </row>
    <row r="501" spans="1:14" ht="12.75" customHeight="1" x14ac:dyDescent="0.2">
      <c r="A501" s="687"/>
      <c r="B501" s="692"/>
      <c r="C501" s="165" t="s">
        <v>52</v>
      </c>
      <c r="D501" s="215">
        <v>0</v>
      </c>
      <c r="E501" s="216">
        <v>0</v>
      </c>
      <c r="F501" s="218" t="s">
        <v>67</v>
      </c>
      <c r="G501" s="218">
        <v>0</v>
      </c>
      <c r="H501" s="216">
        <v>0</v>
      </c>
      <c r="I501" s="219" t="s">
        <v>67</v>
      </c>
      <c r="J501" s="219" t="s">
        <v>67</v>
      </c>
      <c r="K501" s="218">
        <v>0</v>
      </c>
      <c r="L501" s="233">
        <v>0</v>
      </c>
      <c r="M501" s="219" t="s">
        <v>67</v>
      </c>
      <c r="N501" s="220" t="s">
        <v>67</v>
      </c>
    </row>
    <row r="502" spans="1:14" ht="12.75" customHeight="1" x14ac:dyDescent="0.2">
      <c r="A502" s="687"/>
      <c r="B502" s="689" t="s">
        <v>53</v>
      </c>
      <c r="C502" s="690"/>
      <c r="D502" s="203">
        <v>7242</v>
      </c>
      <c r="E502" s="204">
        <v>6968</v>
      </c>
      <c r="F502" s="205">
        <f>D502/E502</f>
        <v>1.0393226176808266</v>
      </c>
      <c r="G502" s="206">
        <v>6043</v>
      </c>
      <c r="H502" s="204">
        <v>6151</v>
      </c>
      <c r="I502" s="207">
        <f>G502/D502</f>
        <v>0.83443800055233364</v>
      </c>
      <c r="J502" s="207">
        <f>+H502/E502</f>
        <v>0.88274971297359361</v>
      </c>
      <c r="K502" s="206">
        <v>5833</v>
      </c>
      <c r="L502" s="206">
        <v>5449</v>
      </c>
      <c r="M502" s="207">
        <f>+K502/E502</f>
        <v>0.83711251435132028</v>
      </c>
      <c r="N502" s="208">
        <f>K502/H502</f>
        <v>0.94830108925377987</v>
      </c>
    </row>
    <row r="503" spans="1:14" ht="12.75" customHeight="1" x14ac:dyDescent="0.2">
      <c r="A503" s="687"/>
      <c r="B503" s="691" t="s">
        <v>49</v>
      </c>
      <c r="C503" s="158" t="s">
        <v>51</v>
      </c>
      <c r="D503" s="209">
        <v>7242</v>
      </c>
      <c r="E503" s="210">
        <v>6968</v>
      </c>
      <c r="F503" s="211">
        <f>D503/E503</f>
        <v>1.0393226176808266</v>
      </c>
      <c r="G503" s="212">
        <v>6043</v>
      </c>
      <c r="H503" s="210">
        <v>6151</v>
      </c>
      <c r="I503" s="213">
        <f>G503/D503</f>
        <v>0.83443800055233364</v>
      </c>
      <c r="J503" s="213">
        <f>+H503/E503</f>
        <v>0.88274971297359361</v>
      </c>
      <c r="K503" s="212">
        <v>5833</v>
      </c>
      <c r="L503" s="212">
        <v>5449</v>
      </c>
      <c r="M503" s="213">
        <f>+K503/E503</f>
        <v>0.83711251435132028</v>
      </c>
      <c r="N503" s="214">
        <f>K503/H503</f>
        <v>0.94830108925377987</v>
      </c>
    </row>
    <row r="504" spans="1:14" ht="12.75" customHeight="1" thickBot="1" x14ac:dyDescent="0.25">
      <c r="A504" s="688"/>
      <c r="B504" s="693"/>
      <c r="C504" s="185" t="s">
        <v>52</v>
      </c>
      <c r="D504" s="227">
        <v>0</v>
      </c>
      <c r="E504" s="228">
        <v>0</v>
      </c>
      <c r="F504" s="229" t="s">
        <v>69</v>
      </c>
      <c r="G504" s="230">
        <v>0</v>
      </c>
      <c r="H504" s="228">
        <v>0</v>
      </c>
      <c r="I504" s="231" t="s">
        <v>69</v>
      </c>
      <c r="J504" s="231" t="s">
        <v>69</v>
      </c>
      <c r="K504" s="230">
        <v>0</v>
      </c>
      <c r="L504" s="230">
        <v>0</v>
      </c>
      <c r="M504" s="231" t="s">
        <v>69</v>
      </c>
      <c r="N504" s="232" t="s">
        <v>69</v>
      </c>
    </row>
    <row r="505" spans="1:14" ht="12.75" customHeight="1" thickTop="1" thickBot="1" x14ac:dyDescent="0.25">
      <c r="A505" s="708" t="s">
        <v>35</v>
      </c>
      <c r="B505" s="709"/>
      <c r="C505" s="709"/>
      <c r="D505" s="709"/>
      <c r="E505" s="709"/>
      <c r="F505" s="709"/>
      <c r="G505" s="709"/>
      <c r="H505" s="709"/>
      <c r="I505" s="709"/>
      <c r="J505" s="709"/>
      <c r="K505" s="709"/>
      <c r="L505" s="709"/>
      <c r="M505" s="709"/>
      <c r="N505" s="710"/>
    </row>
    <row r="506" spans="1:14" ht="12.75" customHeight="1" x14ac:dyDescent="0.2">
      <c r="A506" s="143" t="s">
        <v>48</v>
      </c>
      <c r="B506" s="144"/>
      <c r="C506" s="145"/>
      <c r="D506" s="197">
        <v>13392</v>
      </c>
      <c r="E506" s="198">
        <v>12088</v>
      </c>
      <c r="F506" s="199">
        <f>D506/E506</f>
        <v>1.1078755790866976</v>
      </c>
      <c r="G506" s="198">
        <v>10838</v>
      </c>
      <c r="H506" s="200">
        <v>10031</v>
      </c>
      <c r="I506" s="201">
        <f>G506/D506</f>
        <v>0.80928912783751494</v>
      </c>
      <c r="J506" s="201">
        <f>+H506/E506</f>
        <v>0.8298312375909993</v>
      </c>
      <c r="K506" s="198">
        <v>9905</v>
      </c>
      <c r="L506" s="200">
        <v>9052</v>
      </c>
      <c r="M506" s="201">
        <f>+K506/E506</f>
        <v>0.81940767703507611</v>
      </c>
      <c r="N506" s="202">
        <f>K506/H506</f>
        <v>0.98743893928820659</v>
      </c>
    </row>
    <row r="507" spans="1:14" ht="12.75" customHeight="1" x14ac:dyDescent="0.2">
      <c r="A507" s="686" t="s">
        <v>49</v>
      </c>
      <c r="B507" s="689" t="s">
        <v>50</v>
      </c>
      <c r="C507" s="690"/>
      <c r="D507" s="203">
        <v>6755</v>
      </c>
      <c r="E507" s="204">
        <v>5957</v>
      </c>
      <c r="F507" s="205">
        <f>D507/E507</f>
        <v>1.1339600470035254</v>
      </c>
      <c r="G507" s="206">
        <v>5447</v>
      </c>
      <c r="H507" s="204">
        <v>4947</v>
      </c>
      <c r="I507" s="207">
        <f>G507/D507</f>
        <v>0.80636565507031832</v>
      </c>
      <c r="J507" s="207">
        <f>+H507/E507</f>
        <v>0.83045156958200439</v>
      </c>
      <c r="K507" s="206">
        <v>4836</v>
      </c>
      <c r="L507" s="206">
        <v>4406</v>
      </c>
      <c r="M507" s="207">
        <f>+K507/E507</f>
        <v>0.81181802920933355</v>
      </c>
      <c r="N507" s="208">
        <f>K507/H507</f>
        <v>0.97756215888417219</v>
      </c>
    </row>
    <row r="508" spans="1:14" ht="12.75" customHeight="1" x14ac:dyDescent="0.2">
      <c r="A508" s="687"/>
      <c r="B508" s="691" t="s">
        <v>49</v>
      </c>
      <c r="C508" s="158" t="s">
        <v>51</v>
      </c>
      <c r="D508" s="209">
        <v>6755</v>
      </c>
      <c r="E508" s="210">
        <v>5957</v>
      </c>
      <c r="F508" s="211">
        <f>D508/E508</f>
        <v>1.1339600470035254</v>
      </c>
      <c r="G508" s="212">
        <v>5447</v>
      </c>
      <c r="H508" s="210">
        <v>4947</v>
      </c>
      <c r="I508" s="213">
        <f>G508/D508</f>
        <v>0.80636565507031832</v>
      </c>
      <c r="J508" s="213">
        <f>+H508/E508</f>
        <v>0.83045156958200439</v>
      </c>
      <c r="K508" s="212">
        <v>4836</v>
      </c>
      <c r="L508" s="212">
        <v>4406</v>
      </c>
      <c r="M508" s="213">
        <f>+K508/E508</f>
        <v>0.81181802920933355</v>
      </c>
      <c r="N508" s="214">
        <f>K508/H508</f>
        <v>0.97756215888417219</v>
      </c>
    </row>
    <row r="509" spans="1:14" ht="12.75" customHeight="1" x14ac:dyDescent="0.2">
      <c r="A509" s="687"/>
      <c r="B509" s="692"/>
      <c r="C509" s="165" t="s">
        <v>52</v>
      </c>
      <c r="D509" s="215">
        <v>0</v>
      </c>
      <c r="E509" s="216">
        <v>0</v>
      </c>
      <c r="F509" s="218" t="s">
        <v>67</v>
      </c>
      <c r="G509" s="218">
        <v>0</v>
      </c>
      <c r="H509" s="216">
        <v>0</v>
      </c>
      <c r="I509" s="219" t="s">
        <v>67</v>
      </c>
      <c r="J509" s="219" t="s">
        <v>67</v>
      </c>
      <c r="K509" s="218">
        <v>0</v>
      </c>
      <c r="L509" s="233">
        <v>0</v>
      </c>
      <c r="M509" s="219" t="s">
        <v>67</v>
      </c>
      <c r="N509" s="220" t="s">
        <v>67</v>
      </c>
    </row>
    <row r="510" spans="1:14" ht="12.75" customHeight="1" x14ac:dyDescent="0.2">
      <c r="A510" s="687"/>
      <c r="B510" s="689" t="s">
        <v>53</v>
      </c>
      <c r="C510" s="690"/>
      <c r="D510" s="203">
        <v>6637</v>
      </c>
      <c r="E510" s="204">
        <v>6329</v>
      </c>
      <c r="F510" s="205">
        <f>D510/E510</f>
        <v>1.0486648759677675</v>
      </c>
      <c r="G510" s="206">
        <v>5391</v>
      </c>
      <c r="H510" s="204">
        <v>5211</v>
      </c>
      <c r="I510" s="207">
        <f>G510/D510</f>
        <v>0.81226457736929336</v>
      </c>
      <c r="J510" s="207">
        <f>+H510/E510</f>
        <v>0.82335282035076629</v>
      </c>
      <c r="K510" s="206">
        <v>5130</v>
      </c>
      <c r="L510" s="206">
        <v>4667</v>
      </c>
      <c r="M510" s="207">
        <f>+K510/E510</f>
        <v>0.81055458998261964</v>
      </c>
      <c r="N510" s="208">
        <f>K510/H510</f>
        <v>0.98445595854922274</v>
      </c>
    </row>
    <row r="511" spans="1:14" ht="12.75" customHeight="1" x14ac:dyDescent="0.2">
      <c r="A511" s="687"/>
      <c r="B511" s="691" t="s">
        <v>49</v>
      </c>
      <c r="C511" s="158" t="s">
        <v>51</v>
      </c>
      <c r="D511" s="209">
        <v>6637</v>
      </c>
      <c r="E511" s="210">
        <v>6329</v>
      </c>
      <c r="F511" s="211">
        <f>D511/E511</f>
        <v>1.0486648759677675</v>
      </c>
      <c r="G511" s="212">
        <v>5391</v>
      </c>
      <c r="H511" s="210">
        <v>5211</v>
      </c>
      <c r="I511" s="213">
        <f>G511/D511</f>
        <v>0.81226457736929336</v>
      </c>
      <c r="J511" s="213">
        <f>+H511/E511</f>
        <v>0.82335282035076629</v>
      </c>
      <c r="K511" s="212">
        <v>5130</v>
      </c>
      <c r="L511" s="212">
        <v>1667</v>
      </c>
      <c r="M511" s="213">
        <f>+K511/E511</f>
        <v>0.81055458998261964</v>
      </c>
      <c r="N511" s="214">
        <f>K511/H511</f>
        <v>0.98445595854922274</v>
      </c>
    </row>
    <row r="512" spans="1:14" ht="12.75" customHeight="1" thickBot="1" x14ac:dyDescent="0.25">
      <c r="A512" s="688"/>
      <c r="B512" s="693"/>
      <c r="C512" s="185" t="s">
        <v>52</v>
      </c>
      <c r="D512" s="227">
        <v>0</v>
      </c>
      <c r="E512" s="228">
        <v>0</v>
      </c>
      <c r="F512" s="229" t="s">
        <v>69</v>
      </c>
      <c r="G512" s="230">
        <v>0</v>
      </c>
      <c r="H512" s="228">
        <v>0</v>
      </c>
      <c r="I512" s="231" t="s">
        <v>69</v>
      </c>
      <c r="J512" s="231" t="s">
        <v>69</v>
      </c>
      <c r="K512" s="230">
        <v>0</v>
      </c>
      <c r="L512" s="230">
        <v>0</v>
      </c>
      <c r="M512" s="231" t="s">
        <v>69</v>
      </c>
      <c r="N512" s="232" t="s">
        <v>69</v>
      </c>
    </row>
    <row r="513" spans="1:14" ht="12.75" customHeight="1" thickTop="1" thickBot="1" x14ac:dyDescent="0.25">
      <c r="A513" s="708" t="s">
        <v>542</v>
      </c>
      <c r="B513" s="709"/>
      <c r="C513" s="709"/>
      <c r="D513" s="709"/>
      <c r="E513" s="709"/>
      <c r="F513" s="709"/>
      <c r="G513" s="709"/>
      <c r="H513" s="709"/>
      <c r="I513" s="709"/>
      <c r="J513" s="709"/>
      <c r="K513" s="709"/>
      <c r="L513" s="709"/>
      <c r="M513" s="709"/>
      <c r="N513" s="710"/>
    </row>
    <row r="514" spans="1:14" ht="12.75" customHeight="1" x14ac:dyDescent="0.2">
      <c r="A514" s="143" t="s">
        <v>48</v>
      </c>
      <c r="B514" s="144"/>
      <c r="C514" s="145"/>
      <c r="D514" s="197">
        <v>11892</v>
      </c>
      <c r="E514" s="198">
        <v>10884</v>
      </c>
      <c r="F514" s="199">
        <f>D514/E514</f>
        <v>1.0926130099228224</v>
      </c>
      <c r="G514" s="198">
        <v>9600</v>
      </c>
      <c r="H514" s="200">
        <v>9236</v>
      </c>
      <c r="I514" s="201">
        <f t="shared" ref="I514:I519" si="231">G514/D514</f>
        <v>0.80726538849646823</v>
      </c>
      <c r="J514" s="201">
        <f>+H514/E514</f>
        <v>0.84858507901506797</v>
      </c>
      <c r="K514" s="198">
        <v>8837</v>
      </c>
      <c r="L514" s="200">
        <v>8031</v>
      </c>
      <c r="M514" s="201">
        <f t="shared" ref="M514:M519" si="232">+K514/E514</f>
        <v>0.81192576258728411</v>
      </c>
      <c r="N514" s="202">
        <f>K514/H514</f>
        <v>0.95679948029449979</v>
      </c>
    </row>
    <row r="515" spans="1:14" ht="12.75" customHeight="1" x14ac:dyDescent="0.2">
      <c r="A515" s="686" t="s">
        <v>49</v>
      </c>
      <c r="B515" s="689" t="s">
        <v>50</v>
      </c>
      <c r="C515" s="690"/>
      <c r="D515" s="203">
        <v>5693</v>
      </c>
      <c r="E515" s="204">
        <v>5079</v>
      </c>
      <c r="F515" s="205">
        <f>D515/E515</f>
        <v>1.120889938964363</v>
      </c>
      <c r="G515" s="206">
        <v>4616</v>
      </c>
      <c r="H515" s="204">
        <v>4402</v>
      </c>
      <c r="I515" s="207">
        <f t="shared" si="231"/>
        <v>0.81082030563850338</v>
      </c>
      <c r="J515" s="207">
        <f t="shared" ref="J515:J519" si="233">+H515/E515</f>
        <v>0.86670604449694821</v>
      </c>
      <c r="K515" s="206">
        <v>4148</v>
      </c>
      <c r="L515" s="206">
        <v>3755</v>
      </c>
      <c r="M515" s="207">
        <f t="shared" si="232"/>
        <v>0.81669620003937782</v>
      </c>
      <c r="N515" s="208">
        <f t="shared" ref="N515:N519" si="234">K515/H515</f>
        <v>0.94229895502044525</v>
      </c>
    </row>
    <row r="516" spans="1:14" ht="12.75" customHeight="1" x14ac:dyDescent="0.2">
      <c r="A516" s="687"/>
      <c r="B516" s="691" t="s">
        <v>49</v>
      </c>
      <c r="C516" s="158" t="s">
        <v>51</v>
      </c>
      <c r="D516" s="209">
        <v>5693</v>
      </c>
      <c r="E516" s="210">
        <v>5079</v>
      </c>
      <c r="F516" s="211">
        <f t="shared" ref="F516:F519" si="235">D516/E516</f>
        <v>1.120889938964363</v>
      </c>
      <c r="G516" s="212">
        <v>4616</v>
      </c>
      <c r="H516" s="210">
        <v>4402</v>
      </c>
      <c r="I516" s="213">
        <f t="shared" si="231"/>
        <v>0.81082030563850338</v>
      </c>
      <c r="J516" s="213">
        <f t="shared" si="233"/>
        <v>0.86670604449694821</v>
      </c>
      <c r="K516" s="212">
        <v>4148</v>
      </c>
      <c r="L516" s="212">
        <v>3755</v>
      </c>
      <c r="M516" s="213">
        <f t="shared" si="232"/>
        <v>0.81669620003937782</v>
      </c>
      <c r="N516" s="214">
        <f t="shared" si="234"/>
        <v>0.94229895502044525</v>
      </c>
    </row>
    <row r="517" spans="1:14" ht="12.75" customHeight="1" x14ac:dyDescent="0.2">
      <c r="A517" s="687"/>
      <c r="B517" s="692"/>
      <c r="C517" s="165" t="s">
        <v>52</v>
      </c>
      <c r="D517" s="215">
        <v>0</v>
      </c>
      <c r="E517" s="216">
        <v>0</v>
      </c>
      <c r="F517" s="218" t="s">
        <v>67</v>
      </c>
      <c r="G517" s="218">
        <v>0</v>
      </c>
      <c r="H517" s="216">
        <v>0</v>
      </c>
      <c r="I517" s="219" t="s">
        <v>67</v>
      </c>
      <c r="J517" s="219" t="s">
        <v>67</v>
      </c>
      <c r="K517" s="218">
        <v>0</v>
      </c>
      <c r="L517" s="233">
        <v>0</v>
      </c>
      <c r="M517" s="219" t="s">
        <v>67</v>
      </c>
      <c r="N517" s="220" t="s">
        <v>67</v>
      </c>
    </row>
    <row r="518" spans="1:14" ht="12.75" customHeight="1" x14ac:dyDescent="0.2">
      <c r="A518" s="687"/>
      <c r="B518" s="689" t="s">
        <v>53</v>
      </c>
      <c r="C518" s="690"/>
      <c r="D518" s="203">
        <v>6199</v>
      </c>
      <c r="E518" s="204">
        <v>5929</v>
      </c>
      <c r="F518" s="205">
        <f t="shared" si="235"/>
        <v>1.0455388767077078</v>
      </c>
      <c r="G518" s="206">
        <v>4984</v>
      </c>
      <c r="H518" s="204">
        <v>4983</v>
      </c>
      <c r="I518" s="207">
        <f t="shared" si="231"/>
        <v>0.80400064526536541</v>
      </c>
      <c r="J518" s="207">
        <f t="shared" si="233"/>
        <v>0.84044526901669758</v>
      </c>
      <c r="K518" s="206">
        <v>4728</v>
      </c>
      <c r="L518" s="206">
        <v>4283</v>
      </c>
      <c r="M518" s="207">
        <f t="shared" si="232"/>
        <v>0.79743632990386237</v>
      </c>
      <c r="N518" s="208">
        <f t="shared" si="234"/>
        <v>0.94882600842865739</v>
      </c>
    </row>
    <row r="519" spans="1:14" ht="12.75" customHeight="1" x14ac:dyDescent="0.2">
      <c r="A519" s="687"/>
      <c r="B519" s="691" t="s">
        <v>49</v>
      </c>
      <c r="C519" s="158" t="s">
        <v>51</v>
      </c>
      <c r="D519" s="209">
        <v>6199</v>
      </c>
      <c r="E519" s="210">
        <v>5929</v>
      </c>
      <c r="F519" s="211">
        <f t="shared" si="235"/>
        <v>1.0455388767077078</v>
      </c>
      <c r="G519" s="212">
        <v>4984</v>
      </c>
      <c r="H519" s="210">
        <v>4983</v>
      </c>
      <c r="I519" s="213">
        <f t="shared" si="231"/>
        <v>0.80400064526536541</v>
      </c>
      <c r="J519" s="213">
        <f t="shared" si="233"/>
        <v>0.84044526901669758</v>
      </c>
      <c r="K519" s="212">
        <v>4728</v>
      </c>
      <c r="L519" s="212">
        <v>4283</v>
      </c>
      <c r="M519" s="213">
        <f t="shared" si="232"/>
        <v>0.79743632990386237</v>
      </c>
      <c r="N519" s="214">
        <f t="shared" si="234"/>
        <v>0.94882600842865739</v>
      </c>
    </row>
    <row r="520" spans="1:14" ht="12.75" customHeight="1" thickBot="1" x14ac:dyDescent="0.25">
      <c r="A520" s="688"/>
      <c r="B520" s="693"/>
      <c r="C520" s="185" t="s">
        <v>52</v>
      </c>
      <c r="D520" s="227">
        <v>0</v>
      </c>
      <c r="E520" s="228">
        <v>0</v>
      </c>
      <c r="F520" s="229" t="s">
        <v>67</v>
      </c>
      <c r="G520" s="230">
        <v>0</v>
      </c>
      <c r="H520" s="228">
        <v>0</v>
      </c>
      <c r="I520" s="231" t="s">
        <v>67</v>
      </c>
      <c r="J520" s="231" t="s">
        <v>67</v>
      </c>
      <c r="K520" s="230">
        <v>0</v>
      </c>
      <c r="L520" s="230">
        <v>0</v>
      </c>
      <c r="M520" s="231" t="s">
        <v>67</v>
      </c>
      <c r="N520" s="232" t="s">
        <v>67</v>
      </c>
    </row>
    <row r="521" spans="1:14" ht="12.75" customHeight="1" thickTop="1" thickBot="1" x14ac:dyDescent="0.25">
      <c r="A521" s="708" t="s">
        <v>544</v>
      </c>
      <c r="B521" s="709"/>
      <c r="C521" s="709"/>
      <c r="D521" s="709"/>
      <c r="E521" s="709"/>
      <c r="F521" s="709"/>
      <c r="G521" s="709"/>
      <c r="H521" s="709"/>
      <c r="I521" s="709"/>
      <c r="J521" s="709"/>
      <c r="K521" s="709"/>
      <c r="L521" s="709"/>
      <c r="M521" s="709"/>
      <c r="N521" s="710"/>
    </row>
    <row r="522" spans="1:14" ht="12.75" customHeight="1" x14ac:dyDescent="0.2">
      <c r="A522" s="143" t="s">
        <v>48</v>
      </c>
      <c r="B522" s="144"/>
      <c r="C522" s="145"/>
      <c r="D522" s="197">
        <v>12586</v>
      </c>
      <c r="E522" s="198">
        <v>10938</v>
      </c>
      <c r="F522" s="199">
        <f>D522/E522</f>
        <v>1.150667398061803</v>
      </c>
      <c r="G522" s="198">
        <v>10507</v>
      </c>
      <c r="H522" s="200">
        <v>9479</v>
      </c>
      <c r="I522" s="201">
        <f t="shared" ref="I522:I524" si="236">G522/D522</f>
        <v>0.83481646273637378</v>
      </c>
      <c r="J522" s="201">
        <f>+H522/E522</f>
        <v>0.86661181203144999</v>
      </c>
      <c r="K522" s="198">
        <v>9097</v>
      </c>
      <c r="L522" s="200">
        <v>7920</v>
      </c>
      <c r="M522" s="201">
        <f t="shared" ref="M522:M524" si="237">+K522/E522</f>
        <v>0.83168769427683309</v>
      </c>
      <c r="N522" s="202">
        <f>K522/H522</f>
        <v>0.95970039033653343</v>
      </c>
    </row>
    <row r="523" spans="1:14" ht="12.75" customHeight="1" x14ac:dyDescent="0.2">
      <c r="A523" s="686" t="s">
        <v>49</v>
      </c>
      <c r="B523" s="689" t="s">
        <v>50</v>
      </c>
      <c r="C523" s="690"/>
      <c r="D523" s="203">
        <v>5603</v>
      </c>
      <c r="E523" s="204">
        <v>4846</v>
      </c>
      <c r="F523" s="205">
        <f>D523/E523</f>
        <v>1.1562113082955014</v>
      </c>
      <c r="G523" s="206">
        <v>4620</v>
      </c>
      <c r="H523" s="204">
        <v>4241</v>
      </c>
      <c r="I523" s="207">
        <f t="shared" si="236"/>
        <v>0.82455827235409607</v>
      </c>
      <c r="J523" s="207">
        <f t="shared" ref="J523:J524" si="238">+H523/E523</f>
        <v>0.8751547668179942</v>
      </c>
      <c r="K523" s="206">
        <v>4013</v>
      </c>
      <c r="L523" s="206">
        <v>3525</v>
      </c>
      <c r="M523" s="207">
        <f t="shared" si="237"/>
        <v>0.82810565414775072</v>
      </c>
      <c r="N523" s="208">
        <f t="shared" ref="N523:N524" si="239">K523/H523</f>
        <v>0.94623909455317146</v>
      </c>
    </row>
    <row r="524" spans="1:14" ht="12.75" customHeight="1" x14ac:dyDescent="0.2">
      <c r="A524" s="687"/>
      <c r="B524" s="691" t="s">
        <v>49</v>
      </c>
      <c r="C524" s="158" t="s">
        <v>51</v>
      </c>
      <c r="D524" s="209">
        <v>5603</v>
      </c>
      <c r="E524" s="210">
        <v>4846</v>
      </c>
      <c r="F524" s="211">
        <f t="shared" ref="F524" si="240">D524/E524</f>
        <v>1.1562113082955014</v>
      </c>
      <c r="G524" s="212">
        <v>4620</v>
      </c>
      <c r="H524" s="210">
        <v>4241</v>
      </c>
      <c r="I524" s="213">
        <f t="shared" si="236"/>
        <v>0.82455827235409607</v>
      </c>
      <c r="J524" s="213">
        <f t="shared" si="238"/>
        <v>0.8751547668179942</v>
      </c>
      <c r="K524" s="212">
        <v>4013</v>
      </c>
      <c r="L524" s="212">
        <v>3525</v>
      </c>
      <c r="M524" s="213">
        <f t="shared" si="237"/>
        <v>0.82810565414775072</v>
      </c>
      <c r="N524" s="214">
        <f t="shared" si="239"/>
        <v>0.94623909455317146</v>
      </c>
    </row>
    <row r="525" spans="1:14" ht="12.75" customHeight="1" x14ac:dyDescent="0.2">
      <c r="A525" s="687"/>
      <c r="B525" s="692"/>
      <c r="C525" s="165" t="s">
        <v>52</v>
      </c>
      <c r="D525" s="215">
        <v>0</v>
      </c>
      <c r="E525" s="216">
        <v>0</v>
      </c>
      <c r="F525" s="218" t="s">
        <v>67</v>
      </c>
      <c r="G525" s="218">
        <v>0</v>
      </c>
      <c r="H525" s="216">
        <v>0</v>
      </c>
      <c r="I525" s="219" t="s">
        <v>67</v>
      </c>
      <c r="J525" s="219" t="s">
        <v>67</v>
      </c>
      <c r="K525" s="218">
        <v>0</v>
      </c>
      <c r="L525" s="233">
        <v>0</v>
      </c>
      <c r="M525" s="219" t="s">
        <v>67</v>
      </c>
      <c r="N525" s="220" t="s">
        <v>67</v>
      </c>
    </row>
    <row r="526" spans="1:14" ht="12.75" customHeight="1" x14ac:dyDescent="0.2">
      <c r="A526" s="687"/>
      <c r="B526" s="689" t="s">
        <v>53</v>
      </c>
      <c r="C526" s="690"/>
      <c r="D526" s="203">
        <v>6983</v>
      </c>
      <c r="E526" s="204">
        <v>6203</v>
      </c>
      <c r="F526" s="205">
        <f t="shared" ref="F526:F527" si="241">D526/E526</f>
        <v>1.1257456069643721</v>
      </c>
      <c r="G526" s="206">
        <v>5887</v>
      </c>
      <c r="H526" s="204">
        <v>5284</v>
      </c>
      <c r="I526" s="207">
        <f t="shared" ref="I526:I527" si="242">G526/D526</f>
        <v>0.8430474008305886</v>
      </c>
      <c r="J526" s="207">
        <f t="shared" ref="J526:J527" si="243">+H526/E526</f>
        <v>0.85184588102531034</v>
      </c>
      <c r="K526" s="206">
        <v>5110</v>
      </c>
      <c r="L526" s="206">
        <v>4403</v>
      </c>
      <c r="M526" s="207">
        <f t="shared" ref="M526:M527" si="244">+K526/E526</f>
        <v>0.82379493793325809</v>
      </c>
      <c r="N526" s="208">
        <f t="shared" ref="N526:N527" si="245">K526/H526</f>
        <v>0.96707040121120358</v>
      </c>
    </row>
    <row r="527" spans="1:14" ht="12.75" customHeight="1" x14ac:dyDescent="0.2">
      <c r="A527" s="687"/>
      <c r="B527" s="691" t="s">
        <v>49</v>
      </c>
      <c r="C527" s="158" t="s">
        <v>51</v>
      </c>
      <c r="D527" s="209">
        <v>6983</v>
      </c>
      <c r="E527" s="210">
        <v>6203</v>
      </c>
      <c r="F527" s="211">
        <f t="shared" si="241"/>
        <v>1.1257456069643721</v>
      </c>
      <c r="G527" s="212">
        <v>5887</v>
      </c>
      <c r="H527" s="210">
        <v>5284</v>
      </c>
      <c r="I527" s="213">
        <f t="shared" si="242"/>
        <v>0.8430474008305886</v>
      </c>
      <c r="J527" s="213">
        <f t="shared" si="243"/>
        <v>0.85184588102531034</v>
      </c>
      <c r="K527" s="212">
        <v>5110</v>
      </c>
      <c r="L527" s="212">
        <v>4403</v>
      </c>
      <c r="M527" s="213">
        <f t="shared" si="244"/>
        <v>0.82379493793325809</v>
      </c>
      <c r="N527" s="214">
        <f t="shared" si="245"/>
        <v>0.96707040121120358</v>
      </c>
    </row>
    <row r="528" spans="1:14" ht="12.75" customHeight="1" thickBot="1" x14ac:dyDescent="0.25">
      <c r="A528" s="688"/>
      <c r="B528" s="693"/>
      <c r="C528" s="185" t="s">
        <v>52</v>
      </c>
      <c r="D528" s="227">
        <v>0</v>
      </c>
      <c r="E528" s="228">
        <v>0</v>
      </c>
      <c r="F528" s="229" t="s">
        <v>67</v>
      </c>
      <c r="G528" s="230">
        <v>0</v>
      </c>
      <c r="H528" s="228">
        <v>0</v>
      </c>
      <c r="I528" s="231" t="s">
        <v>67</v>
      </c>
      <c r="J528" s="231" t="s">
        <v>67</v>
      </c>
      <c r="K528" s="230">
        <v>0</v>
      </c>
      <c r="L528" s="230">
        <v>0</v>
      </c>
      <c r="M528" s="231" t="s">
        <v>67</v>
      </c>
      <c r="N528" s="232" t="s">
        <v>67</v>
      </c>
    </row>
    <row r="529" spans="1:14" ht="12.75" customHeight="1" thickTop="1" thickBot="1" x14ac:dyDescent="0.25">
      <c r="A529" s="705" t="s">
        <v>551</v>
      </c>
      <c r="B529" s="706"/>
      <c r="C529" s="706"/>
      <c r="D529" s="706"/>
      <c r="E529" s="706"/>
      <c r="F529" s="706"/>
      <c r="G529" s="706"/>
      <c r="H529" s="706"/>
      <c r="I529" s="706"/>
      <c r="J529" s="706"/>
      <c r="K529" s="706"/>
      <c r="L529" s="706"/>
      <c r="M529" s="706"/>
      <c r="N529" s="707"/>
    </row>
    <row r="530" spans="1:14" ht="12.75" customHeight="1" x14ac:dyDescent="0.2">
      <c r="A530" s="180" t="s">
        <v>48</v>
      </c>
      <c r="B530" s="145"/>
      <c r="C530" s="145"/>
      <c r="D530" s="146">
        <v>10527</v>
      </c>
      <c r="E530" s="181">
        <v>9513</v>
      </c>
      <c r="F530" s="148">
        <f>D530/E530</f>
        <v>1.1065909807631662</v>
      </c>
      <c r="G530" s="149">
        <v>8460</v>
      </c>
      <c r="H530" s="149">
        <v>8075</v>
      </c>
      <c r="I530" s="150">
        <f t="shared" ref="I530:I535" si="246">G530/D530</f>
        <v>0.80364776289541184</v>
      </c>
      <c r="J530" s="150">
        <f>+H530/E530</f>
        <v>0.84883843161988859</v>
      </c>
      <c r="K530" s="149">
        <v>7636</v>
      </c>
      <c r="L530" s="149">
        <v>6796</v>
      </c>
      <c r="M530" s="150">
        <f t="shared" ref="M530:M535" si="247">+K530/E530</f>
        <v>0.80269105434668353</v>
      </c>
      <c r="N530" s="151">
        <f>K530/H530</f>
        <v>0.94563467492260067</v>
      </c>
    </row>
    <row r="531" spans="1:14" ht="12.75" customHeight="1" x14ac:dyDescent="0.2">
      <c r="A531" s="686" t="s">
        <v>49</v>
      </c>
      <c r="B531" s="689" t="s">
        <v>50</v>
      </c>
      <c r="C531" s="690"/>
      <c r="D531" s="152">
        <v>5047</v>
      </c>
      <c r="E531" s="182">
        <v>4465</v>
      </c>
      <c r="F531" s="154">
        <f>D531/E531</f>
        <v>1.1303471444568869</v>
      </c>
      <c r="G531" s="155">
        <v>4025</v>
      </c>
      <c r="H531" s="155">
        <v>3799</v>
      </c>
      <c r="I531" s="156">
        <f t="shared" si="246"/>
        <v>0.79750346740638001</v>
      </c>
      <c r="J531" s="156">
        <f t="shared" ref="J531:J535" si="248">+H531/E531</f>
        <v>0.8508398656215006</v>
      </c>
      <c r="K531" s="155">
        <v>3567</v>
      </c>
      <c r="L531" s="155">
        <v>3067</v>
      </c>
      <c r="M531" s="156">
        <f t="shared" si="247"/>
        <v>0.79888017917133258</v>
      </c>
      <c r="N531" s="157">
        <f t="shared" ref="N531:N535" si="249">K531/H531</f>
        <v>0.93893129770992367</v>
      </c>
    </row>
    <row r="532" spans="1:14" ht="12.75" customHeight="1" x14ac:dyDescent="0.2">
      <c r="A532" s="687"/>
      <c r="B532" s="691" t="s">
        <v>49</v>
      </c>
      <c r="C532" s="158" t="s">
        <v>51</v>
      </c>
      <c r="D532" s="209">
        <v>5047</v>
      </c>
      <c r="E532" s="210">
        <v>4465</v>
      </c>
      <c r="F532" s="211">
        <f t="shared" ref="F532:F535" si="250">D532/E532</f>
        <v>1.1303471444568869</v>
      </c>
      <c r="G532" s="212">
        <v>4025</v>
      </c>
      <c r="H532" s="210">
        <v>3799</v>
      </c>
      <c r="I532" s="213">
        <f t="shared" si="246"/>
        <v>0.79750346740638001</v>
      </c>
      <c r="J532" s="213">
        <f t="shared" si="248"/>
        <v>0.8508398656215006</v>
      </c>
      <c r="K532" s="212">
        <v>3567</v>
      </c>
      <c r="L532" s="212">
        <v>3067</v>
      </c>
      <c r="M532" s="213">
        <f t="shared" si="247"/>
        <v>0.79888017917133258</v>
      </c>
      <c r="N532" s="214">
        <f t="shared" si="249"/>
        <v>0.93893129770992367</v>
      </c>
    </row>
    <row r="533" spans="1:14" ht="12.75" customHeight="1" x14ac:dyDescent="0.2">
      <c r="A533" s="687"/>
      <c r="B533" s="692"/>
      <c r="C533" s="165" t="s">
        <v>52</v>
      </c>
      <c r="D533" s="215">
        <v>0</v>
      </c>
      <c r="E533" s="216">
        <v>0</v>
      </c>
      <c r="F533" s="218" t="s">
        <v>67</v>
      </c>
      <c r="G533" s="218">
        <v>0</v>
      </c>
      <c r="H533" s="216">
        <v>0</v>
      </c>
      <c r="I533" s="219" t="s">
        <v>67</v>
      </c>
      <c r="J533" s="219" t="s">
        <v>67</v>
      </c>
      <c r="K533" s="218">
        <v>0</v>
      </c>
      <c r="L533" s="233">
        <v>0</v>
      </c>
      <c r="M533" s="219" t="s">
        <v>67</v>
      </c>
      <c r="N533" s="220" t="s">
        <v>67</v>
      </c>
    </row>
    <row r="534" spans="1:14" ht="12.75" customHeight="1" x14ac:dyDescent="0.2">
      <c r="A534" s="687"/>
      <c r="B534" s="689" t="s">
        <v>53</v>
      </c>
      <c r="C534" s="690"/>
      <c r="D534" s="152">
        <v>5480</v>
      </c>
      <c r="E534" s="182">
        <v>5192</v>
      </c>
      <c r="F534" s="154">
        <f t="shared" si="250"/>
        <v>1.0554699537750385</v>
      </c>
      <c r="G534" s="155">
        <v>4435</v>
      </c>
      <c r="H534" s="155">
        <v>4331</v>
      </c>
      <c r="I534" s="156">
        <f t="shared" si="246"/>
        <v>0.80930656934306566</v>
      </c>
      <c r="J534" s="156">
        <f t="shared" si="248"/>
        <v>0.83416795069337446</v>
      </c>
      <c r="K534" s="155">
        <v>4100</v>
      </c>
      <c r="L534" s="155">
        <v>3732</v>
      </c>
      <c r="M534" s="156">
        <f t="shared" si="247"/>
        <v>0.78967642526964565</v>
      </c>
      <c r="N534" s="157">
        <f t="shared" si="249"/>
        <v>0.94666358808589235</v>
      </c>
    </row>
    <row r="535" spans="1:14" ht="12.75" customHeight="1" x14ac:dyDescent="0.2">
      <c r="A535" s="687"/>
      <c r="B535" s="691" t="s">
        <v>49</v>
      </c>
      <c r="C535" s="158" t="s">
        <v>51</v>
      </c>
      <c r="D535" s="159">
        <v>5480</v>
      </c>
      <c r="E535" s="183">
        <v>5192</v>
      </c>
      <c r="F535" s="211">
        <f t="shared" si="250"/>
        <v>1.0554699537750385</v>
      </c>
      <c r="G535" s="162">
        <v>4435</v>
      </c>
      <c r="H535" s="162">
        <v>4331</v>
      </c>
      <c r="I535" s="163">
        <f t="shared" si="246"/>
        <v>0.80930656934306566</v>
      </c>
      <c r="J535" s="163">
        <f t="shared" si="248"/>
        <v>0.83416795069337446</v>
      </c>
      <c r="K535" s="162">
        <v>4100</v>
      </c>
      <c r="L535" s="162">
        <v>3732</v>
      </c>
      <c r="M535" s="163">
        <f t="shared" si="247"/>
        <v>0.78967642526964565</v>
      </c>
      <c r="N535" s="164">
        <f t="shared" si="249"/>
        <v>0.94666358808589235</v>
      </c>
    </row>
    <row r="536" spans="1:14" ht="12.75" customHeight="1" thickBot="1" x14ac:dyDescent="0.25">
      <c r="A536" s="688"/>
      <c r="B536" s="693"/>
      <c r="C536" s="185" t="s">
        <v>52</v>
      </c>
      <c r="D536" s="186">
        <v>0</v>
      </c>
      <c r="E536" s="187">
        <v>0</v>
      </c>
      <c r="F536" s="608" t="s">
        <v>67</v>
      </c>
      <c r="G536" s="189">
        <v>0</v>
      </c>
      <c r="H536" s="189">
        <v>0</v>
      </c>
      <c r="I536" s="190" t="s">
        <v>67</v>
      </c>
      <c r="J536" s="190" t="s">
        <v>67</v>
      </c>
      <c r="K536" s="189">
        <v>0</v>
      </c>
      <c r="L536" s="189">
        <v>0</v>
      </c>
      <c r="M536" s="190" t="s">
        <v>67</v>
      </c>
      <c r="N536" s="191" t="s">
        <v>67</v>
      </c>
    </row>
    <row r="537" spans="1:14" ht="12.75" customHeight="1" thickTop="1" thickBot="1" x14ac:dyDescent="0.25">
      <c r="A537" s="705" t="s">
        <v>561</v>
      </c>
      <c r="B537" s="706"/>
      <c r="C537" s="706"/>
      <c r="D537" s="706"/>
      <c r="E537" s="706"/>
      <c r="F537" s="706"/>
      <c r="G537" s="706"/>
      <c r="H537" s="706"/>
      <c r="I537" s="706"/>
      <c r="J537" s="706"/>
      <c r="K537" s="706"/>
      <c r="L537" s="706"/>
      <c r="M537" s="706"/>
      <c r="N537" s="707"/>
    </row>
    <row r="538" spans="1:14" ht="12.75" customHeight="1" x14ac:dyDescent="0.2">
      <c r="A538" s="180" t="s">
        <v>48</v>
      </c>
      <c r="B538" s="145"/>
      <c r="C538" s="145"/>
      <c r="D538" s="146">
        <v>10244</v>
      </c>
      <c r="E538" s="181">
        <v>9205</v>
      </c>
      <c r="F538" s="148">
        <f>D538/E538</f>
        <v>1.1128734383487235</v>
      </c>
      <c r="G538" s="149">
        <v>8475</v>
      </c>
      <c r="H538" s="149">
        <v>8017</v>
      </c>
      <c r="I538" s="150">
        <f t="shared" ref="I538:I540" si="251">G538/D538</f>
        <v>0.82731354939476764</v>
      </c>
      <c r="J538" s="150">
        <f>+H538/E538</f>
        <v>0.8709397066811515</v>
      </c>
      <c r="K538" s="149">
        <v>7763</v>
      </c>
      <c r="L538" s="149">
        <v>6793</v>
      </c>
      <c r="M538" s="150">
        <f t="shared" ref="M538:M540" si="252">+K538/E538</f>
        <v>0.84334600760456269</v>
      </c>
      <c r="N538" s="151">
        <f>K538/H538</f>
        <v>0.96831732568292384</v>
      </c>
    </row>
    <row r="539" spans="1:14" ht="12.75" customHeight="1" x14ac:dyDescent="0.2">
      <c r="A539" s="686" t="s">
        <v>49</v>
      </c>
      <c r="B539" s="689" t="s">
        <v>50</v>
      </c>
      <c r="C539" s="690"/>
      <c r="D539" s="152">
        <v>5188</v>
      </c>
      <c r="E539" s="182">
        <v>4575</v>
      </c>
      <c r="F539" s="154">
        <f>D539/E539</f>
        <v>1.1339890710382514</v>
      </c>
      <c r="G539" s="155">
        <v>4232</v>
      </c>
      <c r="H539" s="155">
        <v>3970</v>
      </c>
      <c r="I539" s="156">
        <f t="shared" si="251"/>
        <v>0.81572860447185813</v>
      </c>
      <c r="J539" s="156">
        <f t="shared" ref="J539:J540" si="253">+H539/E539</f>
        <v>0.86775956284153011</v>
      </c>
      <c r="K539" s="155">
        <v>3834</v>
      </c>
      <c r="L539" s="155">
        <v>3259</v>
      </c>
      <c r="M539" s="156">
        <f t="shared" si="252"/>
        <v>0.83803278688524585</v>
      </c>
      <c r="N539" s="157">
        <f t="shared" ref="N539:N540" si="254">K539/H539</f>
        <v>0.96574307304785889</v>
      </c>
    </row>
    <row r="540" spans="1:14" ht="12.75" customHeight="1" x14ac:dyDescent="0.2">
      <c r="A540" s="687"/>
      <c r="B540" s="691" t="s">
        <v>49</v>
      </c>
      <c r="C540" s="158" t="s">
        <v>51</v>
      </c>
      <c r="D540" s="209">
        <v>5188</v>
      </c>
      <c r="E540" s="210">
        <v>4575</v>
      </c>
      <c r="F540" s="161">
        <f t="shared" ref="F540" si="255">D540/E540</f>
        <v>1.1339890710382514</v>
      </c>
      <c r="G540" s="155">
        <v>4232</v>
      </c>
      <c r="H540" s="155">
        <v>3970</v>
      </c>
      <c r="I540" s="213">
        <f t="shared" si="251"/>
        <v>0.81572860447185813</v>
      </c>
      <c r="J540" s="213">
        <f t="shared" si="253"/>
        <v>0.86775956284153011</v>
      </c>
      <c r="K540" s="155">
        <v>3834</v>
      </c>
      <c r="L540" s="155">
        <v>3259</v>
      </c>
      <c r="M540" s="213">
        <f t="shared" si="252"/>
        <v>0.83803278688524585</v>
      </c>
      <c r="N540" s="214">
        <f t="shared" si="254"/>
        <v>0.96574307304785889</v>
      </c>
    </row>
    <row r="541" spans="1:14" ht="12.75" customHeight="1" x14ac:dyDescent="0.2">
      <c r="A541" s="687"/>
      <c r="B541" s="692"/>
      <c r="C541" s="165" t="s">
        <v>52</v>
      </c>
      <c r="D541" s="215">
        <v>0</v>
      </c>
      <c r="E541" s="216">
        <v>0</v>
      </c>
      <c r="F541" s="168" t="s">
        <v>67</v>
      </c>
      <c r="G541" s="218">
        <v>0</v>
      </c>
      <c r="H541" s="216">
        <v>0</v>
      </c>
      <c r="I541" s="219" t="s">
        <v>67</v>
      </c>
      <c r="J541" s="219" t="s">
        <v>67</v>
      </c>
      <c r="K541" s="218">
        <v>0</v>
      </c>
      <c r="L541" s="233">
        <v>0</v>
      </c>
      <c r="M541" s="219" t="s">
        <v>67</v>
      </c>
      <c r="N541" s="220" t="s">
        <v>67</v>
      </c>
    </row>
    <row r="542" spans="1:14" ht="12.75" customHeight="1" x14ac:dyDescent="0.2">
      <c r="A542" s="687"/>
      <c r="B542" s="689" t="s">
        <v>53</v>
      </c>
      <c r="C542" s="690"/>
      <c r="D542" s="152">
        <f>D538-D539</f>
        <v>5056</v>
      </c>
      <c r="E542" s="182">
        <v>4755</v>
      </c>
      <c r="F542" s="154">
        <f t="shared" ref="F542:F543" si="256">D542/E542</f>
        <v>1.0633017875920083</v>
      </c>
      <c r="G542" s="152">
        <f>G538-G539</f>
        <v>4243</v>
      </c>
      <c r="H542" s="155">
        <v>4094</v>
      </c>
      <c r="I542" s="156">
        <f t="shared" ref="I542:I543" si="257">G542/D542</f>
        <v>0.83920094936708856</v>
      </c>
      <c r="J542" s="156">
        <f t="shared" ref="J542:J543" si="258">+H542/E542</f>
        <v>0.86098843322818086</v>
      </c>
      <c r="K542" s="155">
        <v>3960</v>
      </c>
      <c r="L542" s="155">
        <v>3539</v>
      </c>
      <c r="M542" s="156">
        <f t="shared" ref="M542:M543" si="259">+K542/E542</f>
        <v>0.83280757097791802</v>
      </c>
      <c r="N542" s="157">
        <f t="shared" ref="N542:N543" si="260">K542/H542</f>
        <v>0.96726917440156324</v>
      </c>
    </row>
    <row r="543" spans="1:14" ht="12.75" customHeight="1" x14ac:dyDescent="0.2">
      <c r="A543" s="687"/>
      <c r="B543" s="691" t="s">
        <v>49</v>
      </c>
      <c r="C543" s="158" t="s">
        <v>51</v>
      </c>
      <c r="D543" s="159">
        <v>5056</v>
      </c>
      <c r="E543" s="183">
        <v>4755</v>
      </c>
      <c r="F543" s="161">
        <f t="shared" si="256"/>
        <v>1.0633017875920083</v>
      </c>
      <c r="G543" s="162">
        <v>4243</v>
      </c>
      <c r="H543" s="162">
        <v>4094</v>
      </c>
      <c r="I543" s="163">
        <f t="shared" si="257"/>
        <v>0.83920094936708856</v>
      </c>
      <c r="J543" s="163">
        <f t="shared" si="258"/>
        <v>0.86098843322818086</v>
      </c>
      <c r="K543" s="162">
        <v>3960</v>
      </c>
      <c r="L543" s="162">
        <v>3539</v>
      </c>
      <c r="M543" s="163">
        <f t="shared" si="259"/>
        <v>0.83280757097791802</v>
      </c>
      <c r="N543" s="164">
        <f t="shared" si="260"/>
        <v>0.96726917440156324</v>
      </c>
    </row>
    <row r="544" spans="1:14" ht="12.75" customHeight="1" thickBot="1" x14ac:dyDescent="0.25">
      <c r="A544" s="688"/>
      <c r="B544" s="693"/>
      <c r="C544" s="185" t="s">
        <v>52</v>
      </c>
      <c r="D544" s="186">
        <v>0</v>
      </c>
      <c r="E544" s="187">
        <v>0</v>
      </c>
      <c r="F544" s="188" t="s">
        <v>67</v>
      </c>
      <c r="G544" s="189">
        <v>0</v>
      </c>
      <c r="H544" s="189">
        <v>0</v>
      </c>
      <c r="I544" s="190" t="s">
        <v>67</v>
      </c>
      <c r="J544" s="190" t="s">
        <v>67</v>
      </c>
      <c r="K544" s="189">
        <v>0</v>
      </c>
      <c r="L544" s="189">
        <v>0</v>
      </c>
      <c r="M544" s="190" t="s">
        <v>67</v>
      </c>
      <c r="N544" s="191" t="s">
        <v>67</v>
      </c>
    </row>
    <row r="545" spans="1:14" ht="12.75" customHeight="1" thickTop="1" thickBot="1" x14ac:dyDescent="0.25">
      <c r="A545" s="705" t="s">
        <v>586</v>
      </c>
      <c r="B545" s="706"/>
      <c r="C545" s="706"/>
      <c r="D545" s="706"/>
      <c r="E545" s="706"/>
      <c r="F545" s="706"/>
      <c r="G545" s="706"/>
      <c r="H545" s="706"/>
      <c r="I545" s="706"/>
      <c r="J545" s="706"/>
      <c r="K545" s="706"/>
      <c r="L545" s="706"/>
      <c r="M545" s="706"/>
      <c r="N545" s="707"/>
    </row>
    <row r="546" spans="1:14" ht="12.75" customHeight="1" x14ac:dyDescent="0.2">
      <c r="A546" s="180" t="s">
        <v>48</v>
      </c>
      <c r="B546" s="145"/>
      <c r="C546" s="145"/>
      <c r="D546" s="146">
        <v>10279</v>
      </c>
      <c r="E546" s="181">
        <v>9265</v>
      </c>
      <c r="F546" s="148">
        <f>D546/E546</f>
        <v>1.1094441446303291</v>
      </c>
      <c r="G546" s="149">
        <v>8740</v>
      </c>
      <c r="H546" s="149">
        <v>8196</v>
      </c>
      <c r="I546" s="150">
        <f t="shared" ref="I546:I551" si="261">G546/D546</f>
        <v>0.85027726432532347</v>
      </c>
      <c r="J546" s="150">
        <f>+H546/E546</f>
        <v>0.88461953588774955</v>
      </c>
      <c r="K546" s="149">
        <v>7575</v>
      </c>
      <c r="L546" s="149">
        <v>6732</v>
      </c>
      <c r="M546" s="150">
        <f t="shared" ref="M546:M551" si="262">+K546/E546</f>
        <v>0.81759309228278465</v>
      </c>
      <c r="N546" s="151">
        <f>K546/H546</f>
        <v>0.92423133235724741</v>
      </c>
    </row>
    <row r="547" spans="1:14" ht="12.75" customHeight="1" x14ac:dyDescent="0.2">
      <c r="A547" s="686" t="s">
        <v>49</v>
      </c>
      <c r="B547" s="689" t="s">
        <v>50</v>
      </c>
      <c r="C547" s="690"/>
      <c r="D547" s="152">
        <v>5257</v>
      </c>
      <c r="E547" s="182">
        <v>4698</v>
      </c>
      <c r="F547" s="154">
        <f>D547/E547</f>
        <v>1.1189868028948489</v>
      </c>
      <c r="G547" s="155">
        <v>4428</v>
      </c>
      <c r="H547" s="155">
        <v>4154</v>
      </c>
      <c r="I547" s="156">
        <f t="shared" si="261"/>
        <v>0.84230549743199545</v>
      </c>
      <c r="J547" s="156">
        <f t="shared" ref="J547:J551" si="263">+H547/E547</f>
        <v>0.88420604512558532</v>
      </c>
      <c r="K547" s="155">
        <v>3812</v>
      </c>
      <c r="L547" s="155">
        <v>3327</v>
      </c>
      <c r="M547" s="156">
        <f t="shared" si="262"/>
        <v>0.81140911025968498</v>
      </c>
      <c r="N547" s="157">
        <f t="shared" ref="N547:N551" si="264">K547/H547</f>
        <v>0.91766971593644675</v>
      </c>
    </row>
    <row r="548" spans="1:14" ht="12.75" customHeight="1" x14ac:dyDescent="0.2">
      <c r="A548" s="687"/>
      <c r="B548" s="691" t="s">
        <v>49</v>
      </c>
      <c r="C548" s="158" t="s">
        <v>51</v>
      </c>
      <c r="D548" s="159">
        <v>5257</v>
      </c>
      <c r="E548" s="183">
        <v>4698</v>
      </c>
      <c r="F548" s="161">
        <f t="shared" ref="F548:F551" si="265">D548/E548</f>
        <v>1.1189868028948489</v>
      </c>
      <c r="G548" s="162">
        <v>4428</v>
      </c>
      <c r="H548" s="162">
        <v>4154</v>
      </c>
      <c r="I548" s="163">
        <f t="shared" si="261"/>
        <v>0.84230549743199545</v>
      </c>
      <c r="J548" s="163">
        <f t="shared" si="263"/>
        <v>0.88420604512558532</v>
      </c>
      <c r="K548" s="162">
        <v>3812</v>
      </c>
      <c r="L548" s="162">
        <v>3327</v>
      </c>
      <c r="M548" s="163">
        <f t="shared" si="262"/>
        <v>0.81140911025968498</v>
      </c>
      <c r="N548" s="164">
        <f t="shared" si="264"/>
        <v>0.91766971593644675</v>
      </c>
    </row>
    <row r="549" spans="1:14" ht="12.75" customHeight="1" x14ac:dyDescent="0.2">
      <c r="A549" s="687"/>
      <c r="B549" s="692"/>
      <c r="C549" s="165" t="s">
        <v>52</v>
      </c>
      <c r="D549" s="166">
        <v>0</v>
      </c>
      <c r="E549" s="184">
        <v>0</v>
      </c>
      <c r="F549" s="168" t="s">
        <v>67</v>
      </c>
      <c r="G549" s="169">
        <v>0</v>
      </c>
      <c r="H549" s="169">
        <v>0</v>
      </c>
      <c r="I549" s="170" t="s">
        <v>67</v>
      </c>
      <c r="J549" s="170" t="s">
        <v>67</v>
      </c>
      <c r="K549" s="169">
        <v>0</v>
      </c>
      <c r="L549" s="169">
        <v>0</v>
      </c>
      <c r="M549" s="170" t="s">
        <v>67</v>
      </c>
      <c r="N549" s="171" t="s">
        <v>67</v>
      </c>
    </row>
    <row r="550" spans="1:14" ht="12.75" customHeight="1" x14ac:dyDescent="0.2">
      <c r="A550" s="687"/>
      <c r="B550" s="689" t="s">
        <v>53</v>
      </c>
      <c r="C550" s="690"/>
      <c r="D550" s="152">
        <v>5022</v>
      </c>
      <c r="E550" s="182">
        <v>4717</v>
      </c>
      <c r="F550" s="154">
        <f t="shared" si="265"/>
        <v>1.0646597413610346</v>
      </c>
      <c r="G550" s="152">
        <v>4302</v>
      </c>
      <c r="H550" s="155">
        <v>4119</v>
      </c>
      <c r="I550" s="156">
        <f t="shared" si="261"/>
        <v>0.85663082437275984</v>
      </c>
      <c r="J550" s="156">
        <f t="shared" si="263"/>
        <v>0.87322450710197164</v>
      </c>
      <c r="K550" s="155">
        <v>3821</v>
      </c>
      <c r="L550" s="155">
        <v>3411</v>
      </c>
      <c r="M550" s="156">
        <f t="shared" si="262"/>
        <v>0.81004875980496083</v>
      </c>
      <c r="N550" s="157">
        <f t="shared" si="264"/>
        <v>0.92765234280165088</v>
      </c>
    </row>
    <row r="551" spans="1:14" ht="12.75" customHeight="1" x14ac:dyDescent="0.2">
      <c r="A551" s="687"/>
      <c r="B551" s="691" t="s">
        <v>49</v>
      </c>
      <c r="C551" s="158" t="s">
        <v>51</v>
      </c>
      <c r="D551" s="159">
        <v>5022</v>
      </c>
      <c r="E551" s="183">
        <v>4717</v>
      </c>
      <c r="F551" s="161">
        <f t="shared" si="265"/>
        <v>1.0646597413610346</v>
      </c>
      <c r="G551" s="162">
        <v>4302</v>
      </c>
      <c r="H551" s="162">
        <v>4119</v>
      </c>
      <c r="I551" s="163">
        <f t="shared" si="261"/>
        <v>0.85663082437275984</v>
      </c>
      <c r="J551" s="163">
        <f t="shared" si="263"/>
        <v>0.87322450710197164</v>
      </c>
      <c r="K551" s="162">
        <v>3821</v>
      </c>
      <c r="L551" s="162">
        <v>3411</v>
      </c>
      <c r="M551" s="163">
        <f t="shared" si="262"/>
        <v>0.81004875980496083</v>
      </c>
      <c r="N551" s="164">
        <f t="shared" si="264"/>
        <v>0.92765234280165088</v>
      </c>
    </row>
    <row r="552" spans="1:14" ht="12.75" customHeight="1" thickBot="1" x14ac:dyDescent="0.25">
      <c r="A552" s="688"/>
      <c r="B552" s="693"/>
      <c r="C552" s="185" t="s">
        <v>52</v>
      </c>
      <c r="D552" s="186">
        <v>0</v>
      </c>
      <c r="E552" s="187">
        <v>0</v>
      </c>
      <c r="F552" s="188" t="s">
        <v>67</v>
      </c>
      <c r="G552" s="189">
        <v>0</v>
      </c>
      <c r="H552" s="189">
        <v>0</v>
      </c>
      <c r="I552" s="190" t="s">
        <v>67</v>
      </c>
      <c r="J552" s="190" t="s">
        <v>67</v>
      </c>
      <c r="K552" s="189">
        <v>0</v>
      </c>
      <c r="L552" s="189">
        <v>0</v>
      </c>
      <c r="M552" s="190" t="s">
        <v>67</v>
      </c>
      <c r="N552" s="191" t="s">
        <v>67</v>
      </c>
    </row>
    <row r="553" spans="1:14" ht="12.75" customHeight="1" thickTop="1" thickBot="1" x14ac:dyDescent="0.25">
      <c r="A553" s="705" t="s">
        <v>590</v>
      </c>
      <c r="B553" s="706"/>
      <c r="C553" s="706"/>
      <c r="D553" s="706"/>
      <c r="E553" s="706"/>
      <c r="F553" s="706"/>
      <c r="G553" s="706"/>
      <c r="H553" s="706"/>
      <c r="I553" s="706"/>
      <c r="J553" s="706"/>
      <c r="K553" s="706"/>
      <c r="L553" s="706"/>
      <c r="M553" s="706"/>
      <c r="N553" s="707"/>
    </row>
    <row r="554" spans="1:14" ht="12.75" customHeight="1" x14ac:dyDescent="0.2">
      <c r="A554" s="180" t="s">
        <v>48</v>
      </c>
      <c r="B554" s="145"/>
      <c r="C554" s="145"/>
      <c r="D554" s="146">
        <v>10223</v>
      </c>
      <c r="E554" s="181">
        <v>9535</v>
      </c>
      <c r="F554" s="148">
        <f>D554/E554</f>
        <v>1.0721552176192972</v>
      </c>
      <c r="G554" s="149">
        <v>8881</v>
      </c>
      <c r="H554" s="149">
        <v>8537</v>
      </c>
      <c r="I554" s="150">
        <f t="shared" ref="I554:I556" si="266">G554/D554</f>
        <v>0.86872737943852096</v>
      </c>
      <c r="J554" s="150">
        <f>+H554/E554</f>
        <v>0.89533298374410064</v>
      </c>
      <c r="K554" s="149">
        <v>8054</v>
      </c>
      <c r="L554" s="149">
        <v>7041</v>
      </c>
      <c r="M554" s="150">
        <f t="shared" ref="M554:M556" si="267">+K554/E554</f>
        <v>0.84467750393287888</v>
      </c>
      <c r="N554" s="151">
        <f>K554/H554</f>
        <v>0.94342274803795245</v>
      </c>
    </row>
    <row r="555" spans="1:14" ht="12.75" customHeight="1" x14ac:dyDescent="0.2">
      <c r="A555" s="686" t="s">
        <v>49</v>
      </c>
      <c r="B555" s="689" t="s">
        <v>50</v>
      </c>
      <c r="C555" s="690"/>
      <c r="D555" s="152">
        <v>5508</v>
      </c>
      <c r="E555" s="182">
        <v>5054</v>
      </c>
      <c r="F555" s="154">
        <f>D555/E555</f>
        <v>1.0898298377522755</v>
      </c>
      <c r="G555" s="155">
        <v>4792</v>
      </c>
      <c r="H555" s="155">
        <v>4567</v>
      </c>
      <c r="I555" s="156">
        <f t="shared" si="266"/>
        <v>0.87000726216412494</v>
      </c>
      <c r="J555" s="156">
        <f t="shared" ref="J555:J556" si="268">+H555/E555</f>
        <v>0.90364068064899095</v>
      </c>
      <c r="K555" s="155">
        <v>4286</v>
      </c>
      <c r="L555" s="155">
        <v>3728</v>
      </c>
      <c r="M555" s="156">
        <f t="shared" si="267"/>
        <v>0.84804115552037995</v>
      </c>
      <c r="N555" s="157">
        <f t="shared" ref="N555:N556" si="269">K555/H555</f>
        <v>0.93847164440551789</v>
      </c>
    </row>
    <row r="556" spans="1:14" ht="12.75" customHeight="1" x14ac:dyDescent="0.2">
      <c r="A556" s="687"/>
      <c r="B556" s="691" t="s">
        <v>49</v>
      </c>
      <c r="C556" s="158" t="s">
        <v>51</v>
      </c>
      <c r="D556" s="159">
        <v>5508</v>
      </c>
      <c r="E556" s="183">
        <v>5054</v>
      </c>
      <c r="F556" s="161">
        <f t="shared" ref="F556" si="270">D556/E556</f>
        <v>1.0898298377522755</v>
      </c>
      <c r="G556" s="162">
        <v>4792</v>
      </c>
      <c r="H556" s="162">
        <v>4567</v>
      </c>
      <c r="I556" s="163">
        <f t="shared" si="266"/>
        <v>0.87000726216412494</v>
      </c>
      <c r="J556" s="163">
        <f t="shared" si="268"/>
        <v>0.90364068064899095</v>
      </c>
      <c r="K556" s="162">
        <v>4286</v>
      </c>
      <c r="L556" s="162">
        <v>3728</v>
      </c>
      <c r="M556" s="163">
        <f t="shared" si="267"/>
        <v>0.84804115552037995</v>
      </c>
      <c r="N556" s="164">
        <f t="shared" si="269"/>
        <v>0.93847164440551789</v>
      </c>
    </row>
    <row r="557" spans="1:14" ht="12.75" customHeight="1" x14ac:dyDescent="0.2">
      <c r="A557" s="687"/>
      <c r="B557" s="692"/>
      <c r="C557" s="165" t="s">
        <v>52</v>
      </c>
      <c r="D557" s="166">
        <v>0</v>
      </c>
      <c r="E557" s="184">
        <v>0</v>
      </c>
      <c r="F557" s="168" t="s">
        <v>67</v>
      </c>
      <c r="G557" s="169">
        <v>0</v>
      </c>
      <c r="H557" s="169">
        <v>0</v>
      </c>
      <c r="I557" s="170" t="s">
        <v>67</v>
      </c>
      <c r="J557" s="170" t="s">
        <v>67</v>
      </c>
      <c r="K557" s="169">
        <v>0</v>
      </c>
      <c r="L557" s="169">
        <v>0</v>
      </c>
      <c r="M557" s="170" t="s">
        <v>67</v>
      </c>
      <c r="N557" s="171" t="s">
        <v>67</v>
      </c>
    </row>
    <row r="558" spans="1:14" ht="12.75" customHeight="1" x14ac:dyDescent="0.2">
      <c r="A558" s="687"/>
      <c r="B558" s="689" t="s">
        <v>53</v>
      </c>
      <c r="C558" s="690"/>
      <c r="D558" s="152">
        <v>4715</v>
      </c>
      <c r="E558" s="182">
        <v>4568</v>
      </c>
      <c r="F558" s="154">
        <f t="shared" ref="F558:F559" si="271">D558/E558</f>
        <v>1.0321803852889668</v>
      </c>
      <c r="G558" s="152">
        <v>4089</v>
      </c>
      <c r="H558" s="155">
        <v>4014</v>
      </c>
      <c r="I558" s="156">
        <f t="shared" ref="I558:I559" si="272">G558/D558</f>
        <v>0.86723223753976675</v>
      </c>
      <c r="J558" s="156">
        <f t="shared" ref="J558:J559" si="273">+H558/E558</f>
        <v>0.87872154115586687</v>
      </c>
      <c r="K558" s="155">
        <v>3800</v>
      </c>
      <c r="L558" s="155">
        <v>3316</v>
      </c>
      <c r="M558" s="156">
        <f t="shared" ref="M558:M559" si="274">+K558/E558</f>
        <v>0.8318739054290718</v>
      </c>
      <c r="N558" s="157">
        <f t="shared" ref="N558:N559" si="275">K558/H558</f>
        <v>0.94668659691081214</v>
      </c>
    </row>
    <row r="559" spans="1:14" ht="12.75" customHeight="1" x14ac:dyDescent="0.2">
      <c r="A559" s="687"/>
      <c r="B559" s="691" t="s">
        <v>49</v>
      </c>
      <c r="C559" s="158" t="s">
        <v>51</v>
      </c>
      <c r="D559" s="159">
        <v>4715</v>
      </c>
      <c r="E559" s="183">
        <v>4568</v>
      </c>
      <c r="F559" s="161">
        <f t="shared" si="271"/>
        <v>1.0321803852889668</v>
      </c>
      <c r="G559" s="162">
        <v>4089</v>
      </c>
      <c r="H559" s="162">
        <v>4014</v>
      </c>
      <c r="I559" s="163">
        <f t="shared" si="272"/>
        <v>0.86723223753976675</v>
      </c>
      <c r="J559" s="163">
        <f t="shared" si="273"/>
        <v>0.87872154115586687</v>
      </c>
      <c r="K559" s="162">
        <v>3800</v>
      </c>
      <c r="L559" s="162">
        <v>3316</v>
      </c>
      <c r="M559" s="163">
        <f t="shared" si="274"/>
        <v>0.8318739054290718</v>
      </c>
      <c r="N559" s="164">
        <f t="shared" si="275"/>
        <v>0.94668659691081214</v>
      </c>
    </row>
    <row r="560" spans="1:14" ht="12.75" customHeight="1" thickBot="1" x14ac:dyDescent="0.25">
      <c r="A560" s="688"/>
      <c r="B560" s="693"/>
      <c r="C560" s="185" t="s">
        <v>52</v>
      </c>
      <c r="D560" s="186">
        <v>0</v>
      </c>
      <c r="E560" s="187">
        <v>0</v>
      </c>
      <c r="F560" s="188" t="s">
        <v>67</v>
      </c>
      <c r="G560" s="189">
        <v>0</v>
      </c>
      <c r="H560" s="189">
        <v>0</v>
      </c>
      <c r="I560" s="190" t="s">
        <v>67</v>
      </c>
      <c r="J560" s="190" t="s">
        <v>67</v>
      </c>
      <c r="K560" s="189">
        <v>0</v>
      </c>
      <c r="L560" s="189">
        <v>0</v>
      </c>
      <c r="M560" s="190" t="s">
        <v>67</v>
      </c>
      <c r="N560" s="191" t="s">
        <v>67</v>
      </c>
    </row>
    <row r="561" spans="1:16" ht="12.75" customHeight="1" thickTop="1" thickBot="1" x14ac:dyDescent="0.25">
      <c r="A561" s="682" t="s">
        <v>593</v>
      </c>
      <c r="B561" s="683"/>
      <c r="C561" s="683"/>
      <c r="D561" s="683"/>
      <c r="E561" s="683"/>
      <c r="F561" s="683"/>
      <c r="G561" s="683"/>
      <c r="H561" s="683"/>
      <c r="I561" s="683"/>
      <c r="J561" s="683"/>
      <c r="K561" s="683"/>
      <c r="L561" s="683"/>
      <c r="M561" s="683"/>
      <c r="N561" s="694"/>
    </row>
    <row r="562" spans="1:16" ht="12.75" customHeight="1" x14ac:dyDescent="0.2">
      <c r="A562" s="180" t="s">
        <v>48</v>
      </c>
      <c r="B562" s="145"/>
      <c r="C562" s="145"/>
      <c r="D562" s="146">
        <v>9620</v>
      </c>
      <c r="E562" s="181">
        <v>8752</v>
      </c>
      <c r="F562" s="148">
        <f>D562/E562</f>
        <v>1.0991773308957953</v>
      </c>
      <c r="G562" s="651">
        <v>8648</v>
      </c>
      <c r="H562" s="149">
        <v>8049</v>
      </c>
      <c r="I562" s="150">
        <f t="shared" ref="I562:I564" si="276">G562/D562</f>
        <v>0.89896049896049901</v>
      </c>
      <c r="J562" s="150">
        <f>+H562/E562</f>
        <v>0.91967550274223031</v>
      </c>
      <c r="K562" s="149">
        <v>7127</v>
      </c>
      <c r="L562" s="149">
        <v>6310</v>
      </c>
      <c r="M562" s="150">
        <f t="shared" ref="M562:M564" si="277">+K562/E562</f>
        <v>0.8143281535648994</v>
      </c>
      <c r="N562" s="151">
        <f>K562/H562</f>
        <v>0.885451608895515</v>
      </c>
    </row>
    <row r="563" spans="1:16" ht="12.75" customHeight="1" x14ac:dyDescent="0.2">
      <c r="A563" s="686" t="s">
        <v>49</v>
      </c>
      <c r="B563" s="689" t="s">
        <v>50</v>
      </c>
      <c r="C563" s="690"/>
      <c r="D563" s="152">
        <v>5006</v>
      </c>
      <c r="E563" s="182">
        <v>4441</v>
      </c>
      <c r="F563" s="154">
        <f>D563/E563</f>
        <v>1.1272235982886738</v>
      </c>
      <c r="G563" s="652">
        <v>4539</v>
      </c>
      <c r="H563" s="155">
        <v>4141</v>
      </c>
      <c r="I563" s="156">
        <f t="shared" si="276"/>
        <v>0.90671194566520175</v>
      </c>
      <c r="J563" s="156">
        <f t="shared" ref="J563:J564" si="278">+H563/E563</f>
        <v>0.93244764692636795</v>
      </c>
      <c r="K563" s="155">
        <v>3486</v>
      </c>
      <c r="L563" s="155">
        <v>3094</v>
      </c>
      <c r="M563" s="156">
        <f t="shared" si="277"/>
        <v>0.78495834271560461</v>
      </c>
      <c r="N563" s="157">
        <f t="shared" ref="N563:N564" si="279">K563/H563</f>
        <v>0.84182564597923204</v>
      </c>
    </row>
    <row r="564" spans="1:16" ht="12.75" customHeight="1" x14ac:dyDescent="0.2">
      <c r="A564" s="687"/>
      <c r="B564" s="691" t="s">
        <v>49</v>
      </c>
      <c r="C564" s="158" t="s">
        <v>51</v>
      </c>
      <c r="D564" s="159">
        <v>5006</v>
      </c>
      <c r="E564" s="183">
        <v>4441</v>
      </c>
      <c r="F564" s="161">
        <f t="shared" ref="F564" si="280">D564/E564</f>
        <v>1.1272235982886738</v>
      </c>
      <c r="G564" s="653">
        <v>4539</v>
      </c>
      <c r="H564" s="162">
        <v>4141</v>
      </c>
      <c r="I564" s="163">
        <f t="shared" si="276"/>
        <v>0.90671194566520175</v>
      </c>
      <c r="J564" s="163">
        <f t="shared" si="278"/>
        <v>0.93244764692636795</v>
      </c>
      <c r="K564" s="162">
        <v>3486</v>
      </c>
      <c r="L564" s="162">
        <v>3094</v>
      </c>
      <c r="M564" s="163">
        <f t="shared" si="277"/>
        <v>0.78495834271560461</v>
      </c>
      <c r="N564" s="164">
        <f t="shared" si="279"/>
        <v>0.84182564597923204</v>
      </c>
    </row>
    <row r="565" spans="1:16" ht="12.75" customHeight="1" x14ac:dyDescent="0.2">
      <c r="A565" s="687"/>
      <c r="B565" s="692"/>
      <c r="C565" s="165" t="s">
        <v>52</v>
      </c>
      <c r="D565" s="166">
        <v>0</v>
      </c>
      <c r="E565" s="184">
        <v>0</v>
      </c>
      <c r="F565" s="168" t="s">
        <v>67</v>
      </c>
      <c r="G565" s="654">
        <v>0</v>
      </c>
      <c r="H565" s="169">
        <v>0</v>
      </c>
      <c r="I565" s="170" t="s">
        <v>67</v>
      </c>
      <c r="J565" s="170" t="s">
        <v>67</v>
      </c>
      <c r="K565" s="169">
        <v>0</v>
      </c>
      <c r="L565" s="169">
        <v>0</v>
      </c>
      <c r="M565" s="170" t="s">
        <v>67</v>
      </c>
      <c r="N565" s="171" t="s">
        <v>67</v>
      </c>
    </row>
    <row r="566" spans="1:16" ht="12.75" customHeight="1" thickBot="1" x14ac:dyDescent="0.25">
      <c r="A566" s="687"/>
      <c r="B566" s="689" t="s">
        <v>53</v>
      </c>
      <c r="C566" s="690"/>
      <c r="D566" s="152">
        <v>4614</v>
      </c>
      <c r="E566" s="182">
        <v>4423</v>
      </c>
      <c r="F566" s="154">
        <f t="shared" ref="F566:F567" si="281">D566/E566</f>
        <v>1.0431833597106037</v>
      </c>
      <c r="G566" s="655">
        <v>4109</v>
      </c>
      <c r="H566" s="155">
        <v>3995</v>
      </c>
      <c r="I566" s="156">
        <f t="shared" ref="I566:I567" si="282">G566/D566</f>
        <v>0.89055049848287815</v>
      </c>
      <c r="J566" s="156">
        <f t="shared" ref="J566:J567" si="283">+H566/E566</f>
        <v>0.9032330997060819</v>
      </c>
      <c r="K566" s="155">
        <v>3686</v>
      </c>
      <c r="L566" s="155">
        <v>3225</v>
      </c>
      <c r="M566" s="156">
        <f t="shared" ref="M566:M567" si="284">+K566/E566</f>
        <v>0.83337101514808953</v>
      </c>
      <c r="N566" s="157">
        <f t="shared" ref="N566:N567" si="285">K566/H566</f>
        <v>0.9226533166458073</v>
      </c>
    </row>
    <row r="567" spans="1:16" ht="12.75" customHeight="1" thickTop="1" x14ac:dyDescent="0.2">
      <c r="A567" s="687"/>
      <c r="B567" s="691" t="s">
        <v>49</v>
      </c>
      <c r="C567" s="158" t="s">
        <v>51</v>
      </c>
      <c r="D567" s="159">
        <v>4614</v>
      </c>
      <c r="E567" s="183">
        <v>4423</v>
      </c>
      <c r="F567" s="161">
        <f t="shared" si="281"/>
        <v>1.0431833597106037</v>
      </c>
      <c r="G567" s="653">
        <v>4109</v>
      </c>
      <c r="H567" s="162">
        <v>3995</v>
      </c>
      <c r="I567" s="163">
        <f t="shared" si="282"/>
        <v>0.89055049848287815</v>
      </c>
      <c r="J567" s="163">
        <f t="shared" si="283"/>
        <v>0.9032330997060819</v>
      </c>
      <c r="K567" s="162">
        <v>3686</v>
      </c>
      <c r="L567" s="162">
        <v>3225</v>
      </c>
      <c r="M567" s="163">
        <f t="shared" si="284"/>
        <v>0.83337101514808953</v>
      </c>
      <c r="N567" s="164">
        <f t="shared" si="285"/>
        <v>0.9226533166458073</v>
      </c>
      <c r="O567" s="695" t="s">
        <v>597</v>
      </c>
      <c r="P567" s="698" t="s">
        <v>598</v>
      </c>
    </row>
    <row r="568" spans="1:16" ht="12.75" customHeight="1" thickBot="1" x14ac:dyDescent="0.25">
      <c r="A568" s="688"/>
      <c r="B568" s="693"/>
      <c r="C568" s="185" t="s">
        <v>52</v>
      </c>
      <c r="D568" s="186">
        <v>0</v>
      </c>
      <c r="E568" s="187">
        <v>0</v>
      </c>
      <c r="F568" s="188" t="s">
        <v>67</v>
      </c>
      <c r="G568" s="656">
        <v>0</v>
      </c>
      <c r="H568" s="189">
        <v>0</v>
      </c>
      <c r="I568" s="190" t="s">
        <v>67</v>
      </c>
      <c r="J568" s="190" t="s">
        <v>67</v>
      </c>
      <c r="K568" s="189">
        <v>0</v>
      </c>
      <c r="L568" s="189">
        <v>0</v>
      </c>
      <c r="M568" s="190" t="s">
        <v>67</v>
      </c>
      <c r="N568" s="191" t="s">
        <v>67</v>
      </c>
      <c r="O568" s="696"/>
      <c r="P568" s="699"/>
    </row>
    <row r="569" spans="1:16" ht="12.75" customHeight="1" thickTop="1" thickBot="1" x14ac:dyDescent="0.25">
      <c r="A569" s="682" t="s">
        <v>596</v>
      </c>
      <c r="B569" s="683"/>
      <c r="C569" s="683"/>
      <c r="D569" s="683"/>
      <c r="E569" s="683"/>
      <c r="F569" s="683"/>
      <c r="G569" s="683"/>
      <c r="H569" s="683"/>
      <c r="I569" s="683"/>
      <c r="J569" s="683"/>
      <c r="K569" s="683"/>
      <c r="L569" s="683"/>
      <c r="M569" s="683"/>
      <c r="N569" s="694"/>
      <c r="O569" s="697"/>
      <c r="P569" s="700"/>
    </row>
    <row r="570" spans="1:16" ht="12.75" customHeight="1" x14ac:dyDescent="0.2">
      <c r="A570" s="180" t="s">
        <v>48</v>
      </c>
      <c r="B570" s="145"/>
      <c r="C570" s="145"/>
      <c r="D570" s="146">
        <v>10711</v>
      </c>
      <c r="E570" s="181">
        <v>9757</v>
      </c>
      <c r="F570" s="148">
        <f>D570/E570</f>
        <v>1.0977759557240956</v>
      </c>
      <c r="G570" s="651">
        <v>9336</v>
      </c>
      <c r="H570" s="149">
        <v>8743</v>
      </c>
      <c r="I570" s="150">
        <f t="shared" ref="I570:I572" si="286">G570/D570</f>
        <v>0.87162729903837177</v>
      </c>
      <c r="J570" s="150">
        <f>+H570/E570</f>
        <v>0.8960746130982884</v>
      </c>
      <c r="K570" s="149">
        <v>8232</v>
      </c>
      <c r="L570" s="149">
        <v>7138</v>
      </c>
      <c r="M570" s="150">
        <f t="shared" ref="M570:M572" si="287">+K570/E570</f>
        <v>0.84370195756892485</v>
      </c>
      <c r="N570" s="151">
        <f>K570/H570</f>
        <v>0.94155324259407525</v>
      </c>
      <c r="O570" s="150">
        <f>8584/E570</f>
        <v>0.8797786204776058</v>
      </c>
      <c r="P570" s="151">
        <f>8584/H570</f>
        <v>0.98181402264668882</v>
      </c>
    </row>
    <row r="571" spans="1:16" ht="12.75" customHeight="1" x14ac:dyDescent="0.2">
      <c r="A571" s="686" t="s">
        <v>49</v>
      </c>
      <c r="B571" s="689" t="s">
        <v>50</v>
      </c>
      <c r="C571" s="690"/>
      <c r="D571" s="152">
        <v>5290</v>
      </c>
      <c r="E571" s="182">
        <v>4683</v>
      </c>
      <c r="F571" s="154">
        <f>D571/E571</f>
        <v>1.1296177663890667</v>
      </c>
      <c r="G571" s="652">
        <v>4520</v>
      </c>
      <c r="H571" s="155">
        <v>4159</v>
      </c>
      <c r="I571" s="156">
        <f t="shared" si="286"/>
        <v>0.85444234404536867</v>
      </c>
      <c r="J571" s="156">
        <f t="shared" ref="J571:J572" si="288">+H571/E571</f>
        <v>0.88810591501174463</v>
      </c>
      <c r="K571" s="155">
        <v>3745</v>
      </c>
      <c r="L571" s="155">
        <v>3265</v>
      </c>
      <c r="M571" s="156">
        <f t="shared" si="287"/>
        <v>0.79970104633781769</v>
      </c>
      <c r="N571" s="157">
        <f t="shared" ref="N571:N572" si="289">K571/H571</f>
        <v>0.90045684058667952</v>
      </c>
      <c r="O571" s="156">
        <f>4016/E571</f>
        <v>0.85756993380311763</v>
      </c>
      <c r="P571" s="157">
        <f>4016/H571</f>
        <v>0.96561673479201726</v>
      </c>
    </row>
    <row r="572" spans="1:16" ht="12.75" customHeight="1" x14ac:dyDescent="0.2">
      <c r="A572" s="687"/>
      <c r="B572" s="691" t="s">
        <v>49</v>
      </c>
      <c r="C572" s="158" t="s">
        <v>51</v>
      </c>
      <c r="D572" s="159">
        <v>5290</v>
      </c>
      <c r="E572" s="183">
        <v>4683</v>
      </c>
      <c r="F572" s="161">
        <f t="shared" ref="F572" si="290">D572/E572</f>
        <v>1.1296177663890667</v>
      </c>
      <c r="G572" s="653">
        <v>4520</v>
      </c>
      <c r="H572" s="162">
        <v>4159</v>
      </c>
      <c r="I572" s="163">
        <f t="shared" si="286"/>
        <v>0.85444234404536867</v>
      </c>
      <c r="J572" s="163">
        <f t="shared" si="288"/>
        <v>0.88810591501174463</v>
      </c>
      <c r="K572" s="162">
        <v>3745</v>
      </c>
      <c r="L572" s="162">
        <v>3265</v>
      </c>
      <c r="M572" s="163">
        <f t="shared" si="287"/>
        <v>0.79970104633781769</v>
      </c>
      <c r="N572" s="164">
        <f t="shared" si="289"/>
        <v>0.90045684058667952</v>
      </c>
      <c r="O572" s="163">
        <f>4016/E572</f>
        <v>0.85756993380311763</v>
      </c>
      <c r="P572" s="164">
        <f>4016/H572</f>
        <v>0.96561673479201726</v>
      </c>
    </row>
    <row r="573" spans="1:16" ht="12.75" customHeight="1" x14ac:dyDescent="0.2">
      <c r="A573" s="687"/>
      <c r="B573" s="692"/>
      <c r="C573" s="165" t="s">
        <v>52</v>
      </c>
      <c r="D573" s="166">
        <v>0</v>
      </c>
      <c r="E573" s="184">
        <v>0</v>
      </c>
      <c r="F573" s="168" t="s">
        <v>67</v>
      </c>
      <c r="G573" s="654">
        <v>0</v>
      </c>
      <c r="H573" s="169">
        <v>0</v>
      </c>
      <c r="I573" s="170" t="s">
        <v>67</v>
      </c>
      <c r="J573" s="170" t="s">
        <v>67</v>
      </c>
      <c r="K573" s="169">
        <v>0</v>
      </c>
      <c r="L573" s="169">
        <v>0</v>
      </c>
      <c r="M573" s="170" t="s">
        <v>67</v>
      </c>
      <c r="N573" s="171" t="s">
        <v>67</v>
      </c>
      <c r="O573" s="170" t="s">
        <v>67</v>
      </c>
      <c r="P573" s="171" t="s">
        <v>67</v>
      </c>
    </row>
    <row r="574" spans="1:16" ht="12.75" customHeight="1" x14ac:dyDescent="0.2">
      <c r="A574" s="687"/>
      <c r="B574" s="689" t="s">
        <v>53</v>
      </c>
      <c r="C574" s="690"/>
      <c r="D574" s="152">
        <v>5421</v>
      </c>
      <c r="E574" s="182">
        <v>5200</v>
      </c>
      <c r="F574" s="154">
        <f t="shared" ref="F574:F575" si="291">D574/E574</f>
        <v>1.0425</v>
      </c>
      <c r="G574" s="655">
        <v>4816</v>
      </c>
      <c r="H574" s="155">
        <v>4676</v>
      </c>
      <c r="I574" s="156">
        <f t="shared" ref="I574:I575" si="292">G574/D574</f>
        <v>0.88839697472791002</v>
      </c>
      <c r="J574" s="156">
        <f t="shared" ref="J574:J575" si="293">+H574/E574</f>
        <v>0.89923076923076928</v>
      </c>
      <c r="K574" s="155">
        <v>4552</v>
      </c>
      <c r="L574" s="155">
        <v>3879</v>
      </c>
      <c r="M574" s="156">
        <f t="shared" ref="M574:M575" si="294">+K574/E574</f>
        <v>0.87538461538461543</v>
      </c>
      <c r="N574" s="157">
        <f t="shared" ref="N574:N575" si="295">K574/H574</f>
        <v>0.97348160821214713</v>
      </c>
      <c r="O574" s="156">
        <f>4650/E574</f>
        <v>0.89423076923076927</v>
      </c>
      <c r="P574" s="157">
        <f>4650/H574</f>
        <v>0.99443969204448246</v>
      </c>
    </row>
    <row r="575" spans="1:16" ht="12.75" customHeight="1" x14ac:dyDescent="0.2">
      <c r="A575" s="687"/>
      <c r="B575" s="691" t="s">
        <v>49</v>
      </c>
      <c r="C575" s="158" t="s">
        <v>51</v>
      </c>
      <c r="D575" s="159">
        <v>5421</v>
      </c>
      <c r="E575" s="183">
        <v>5200</v>
      </c>
      <c r="F575" s="161">
        <f t="shared" si="291"/>
        <v>1.0425</v>
      </c>
      <c r="G575" s="653">
        <v>4816</v>
      </c>
      <c r="H575" s="162">
        <v>4676</v>
      </c>
      <c r="I575" s="163">
        <f t="shared" si="292"/>
        <v>0.88839697472791002</v>
      </c>
      <c r="J575" s="163">
        <f t="shared" si="293"/>
        <v>0.89923076923076928</v>
      </c>
      <c r="K575" s="162">
        <v>4552</v>
      </c>
      <c r="L575" s="162">
        <v>3879</v>
      </c>
      <c r="M575" s="163">
        <f t="shared" si="294"/>
        <v>0.87538461538461543</v>
      </c>
      <c r="N575" s="164">
        <f t="shared" si="295"/>
        <v>0.97348160821214713</v>
      </c>
      <c r="O575" s="163">
        <f>4650/E575</f>
        <v>0.89423076923076927</v>
      </c>
      <c r="P575" s="164">
        <f>4650/H575</f>
        <v>0.99443969204448246</v>
      </c>
    </row>
    <row r="576" spans="1:16" ht="12.75" customHeight="1" thickBot="1" x14ac:dyDescent="0.25">
      <c r="A576" s="688"/>
      <c r="B576" s="693"/>
      <c r="C576" s="185" t="s">
        <v>52</v>
      </c>
      <c r="D576" s="186">
        <v>0</v>
      </c>
      <c r="E576" s="187">
        <v>0</v>
      </c>
      <c r="F576" s="188" t="s">
        <v>67</v>
      </c>
      <c r="G576" s="656">
        <v>0</v>
      </c>
      <c r="H576" s="189">
        <v>0</v>
      </c>
      <c r="I576" s="190" t="s">
        <v>67</v>
      </c>
      <c r="J576" s="190" t="s">
        <v>67</v>
      </c>
      <c r="K576" s="189">
        <v>0</v>
      </c>
      <c r="L576" s="189">
        <v>0</v>
      </c>
      <c r="M576" s="190" t="s">
        <v>67</v>
      </c>
      <c r="N576" s="191" t="s">
        <v>67</v>
      </c>
      <c r="O576" s="190" t="s">
        <v>67</v>
      </c>
      <c r="P576" s="191" t="s">
        <v>67</v>
      </c>
    </row>
    <row r="577" spans="1:16" ht="12.75" customHeight="1" thickTop="1" thickBot="1" x14ac:dyDescent="0.25">
      <c r="A577" s="682" t="s">
        <v>603</v>
      </c>
      <c r="B577" s="683"/>
      <c r="C577" s="683"/>
      <c r="D577" s="683"/>
      <c r="E577" s="683"/>
      <c r="F577" s="683"/>
      <c r="G577" s="683"/>
      <c r="H577" s="683"/>
      <c r="I577" s="683"/>
      <c r="J577" s="683"/>
      <c r="K577" s="683"/>
      <c r="L577" s="683"/>
      <c r="M577" s="683"/>
      <c r="N577" s="683"/>
      <c r="O577" s="684"/>
      <c r="P577" s="685"/>
    </row>
    <row r="578" spans="1:16" ht="12.75" customHeight="1" x14ac:dyDescent="0.2">
      <c r="A578" s="180" t="s">
        <v>48</v>
      </c>
      <c r="B578" s="145"/>
      <c r="C578" s="145"/>
      <c r="D578" s="146">
        <v>10962</v>
      </c>
      <c r="E578" s="181">
        <v>9914</v>
      </c>
      <c r="F578" s="148">
        <f>D578/E578</f>
        <v>1.1057090982449063</v>
      </c>
      <c r="G578" s="651">
        <v>9603</v>
      </c>
      <c r="H578" s="149">
        <v>8861</v>
      </c>
      <c r="I578" s="150">
        <f t="shared" ref="I578:I580" si="296">G578/D578</f>
        <v>0.8760262725779967</v>
      </c>
      <c r="J578" s="150">
        <f>+H578/E578</f>
        <v>0.89378656445430704</v>
      </c>
      <c r="K578" s="149">
        <v>8434</v>
      </c>
      <c r="L578" s="149">
        <v>7402</v>
      </c>
      <c r="M578" s="150">
        <f t="shared" ref="M578:M580" si="297">+K578/E578</f>
        <v>0.85071615896711716</v>
      </c>
      <c r="N578" s="151">
        <f>K578/H578</f>
        <v>0.95181130797878344</v>
      </c>
      <c r="O578" s="150">
        <v>0.87119219999999997</v>
      </c>
      <c r="P578" s="151">
        <v>0.97472060000000005</v>
      </c>
    </row>
    <row r="579" spans="1:16" ht="12.75" customHeight="1" x14ac:dyDescent="0.2">
      <c r="A579" s="686" t="s">
        <v>49</v>
      </c>
      <c r="B579" s="689" t="s">
        <v>50</v>
      </c>
      <c r="C579" s="690"/>
      <c r="D579" s="152">
        <v>5982</v>
      </c>
      <c r="E579" s="182">
        <v>5241</v>
      </c>
      <c r="F579" s="154">
        <f>D579/E579</f>
        <v>1.1413852318259874</v>
      </c>
      <c r="G579" s="652">
        <v>5237</v>
      </c>
      <c r="H579" s="155">
        <v>4716</v>
      </c>
      <c r="I579" s="156">
        <f t="shared" si="296"/>
        <v>0.87545971247074561</v>
      </c>
      <c r="J579" s="156">
        <f t="shared" ref="J579:J580" si="298">+H579/E579</f>
        <v>0.89982827704636514</v>
      </c>
      <c r="K579" s="155">
        <v>4385</v>
      </c>
      <c r="L579" s="155">
        <v>3826</v>
      </c>
      <c r="M579" s="156">
        <f t="shared" si="297"/>
        <v>0.83667239076512112</v>
      </c>
      <c r="N579" s="157">
        <f t="shared" ref="N579:N580" si="299">K579/H579</f>
        <v>0.92981340118744704</v>
      </c>
      <c r="O579" s="156">
        <v>0.86796410000000002</v>
      </c>
      <c r="P579" s="157">
        <v>0.96458860000000002</v>
      </c>
    </row>
    <row r="580" spans="1:16" ht="12.75" customHeight="1" x14ac:dyDescent="0.2">
      <c r="A580" s="687"/>
      <c r="B580" s="691" t="s">
        <v>49</v>
      </c>
      <c r="C580" s="158" t="s">
        <v>51</v>
      </c>
      <c r="D580" s="159">
        <v>5982</v>
      </c>
      <c r="E580" s="183">
        <v>5241</v>
      </c>
      <c r="F580" s="161">
        <f t="shared" ref="F580" si="300">D580/E580</f>
        <v>1.1413852318259874</v>
      </c>
      <c r="G580" s="653">
        <v>5237</v>
      </c>
      <c r="H580" s="162">
        <v>4716</v>
      </c>
      <c r="I580" s="163">
        <f t="shared" si="296"/>
        <v>0.87545971247074561</v>
      </c>
      <c r="J580" s="163">
        <f t="shared" si="298"/>
        <v>0.89982827704636514</v>
      </c>
      <c r="K580" s="162">
        <v>4385</v>
      </c>
      <c r="L580" s="162">
        <v>3826</v>
      </c>
      <c r="M580" s="163">
        <f t="shared" si="297"/>
        <v>0.83667239076512112</v>
      </c>
      <c r="N580" s="164">
        <f t="shared" si="299"/>
        <v>0.92981340118744704</v>
      </c>
      <c r="O580" s="163">
        <v>0.86796410000000002</v>
      </c>
      <c r="P580" s="164">
        <v>0.96458860000000002</v>
      </c>
    </row>
    <row r="581" spans="1:16" ht="12.75" customHeight="1" x14ac:dyDescent="0.2">
      <c r="A581" s="687"/>
      <c r="B581" s="692"/>
      <c r="C581" s="165" t="s">
        <v>52</v>
      </c>
      <c r="D581" s="166">
        <v>0</v>
      </c>
      <c r="E581" s="184">
        <v>0</v>
      </c>
      <c r="F581" s="168" t="s">
        <v>67</v>
      </c>
      <c r="G581" s="654">
        <v>0</v>
      </c>
      <c r="H581" s="169">
        <v>0</v>
      </c>
      <c r="I581" s="170" t="s">
        <v>67</v>
      </c>
      <c r="J581" s="170" t="s">
        <v>67</v>
      </c>
      <c r="K581" s="169">
        <v>0</v>
      </c>
      <c r="L581" s="169">
        <v>0</v>
      </c>
      <c r="M581" s="170" t="s">
        <v>67</v>
      </c>
      <c r="N581" s="171" t="s">
        <v>67</v>
      </c>
      <c r="O581" s="170" t="s">
        <v>67</v>
      </c>
      <c r="P581" s="171" t="s">
        <v>67</v>
      </c>
    </row>
    <row r="582" spans="1:16" ht="12.75" customHeight="1" x14ac:dyDescent="0.2">
      <c r="A582" s="687"/>
      <c r="B582" s="689" t="s">
        <v>53</v>
      </c>
      <c r="C582" s="690"/>
      <c r="D582" s="152">
        <v>4980</v>
      </c>
      <c r="E582" s="182">
        <v>4787</v>
      </c>
      <c r="F582" s="154">
        <f t="shared" ref="F582:F583" si="301">D582/E582</f>
        <v>1.0403175266346354</v>
      </c>
      <c r="G582" s="655">
        <v>4366</v>
      </c>
      <c r="H582" s="155">
        <v>4234</v>
      </c>
      <c r="I582" s="156">
        <f t="shared" ref="I582:I583" si="302">G582/D582</f>
        <v>0.87670682730923699</v>
      </c>
      <c r="J582" s="156">
        <f t="shared" ref="J582:J583" si="303">+H582/E582</f>
        <v>0.88447879674117402</v>
      </c>
      <c r="K582" s="155">
        <v>4102</v>
      </c>
      <c r="L582" s="155">
        <v>3585</v>
      </c>
      <c r="M582" s="156">
        <f t="shared" ref="M582:M583" si="304">+K582/E582</f>
        <v>0.85690411531230415</v>
      </c>
      <c r="N582" s="157">
        <f t="shared" ref="N582:N583" si="305">K582/H582</f>
        <v>0.96882380727444495</v>
      </c>
      <c r="O582" s="156">
        <v>0.86567780000000005</v>
      </c>
      <c r="P582" s="157">
        <v>0.97874349999999999</v>
      </c>
    </row>
    <row r="583" spans="1:16" ht="12.75" customHeight="1" x14ac:dyDescent="0.2">
      <c r="A583" s="687"/>
      <c r="B583" s="691" t="s">
        <v>49</v>
      </c>
      <c r="C583" s="158" t="s">
        <v>51</v>
      </c>
      <c r="D583" s="159">
        <v>4980</v>
      </c>
      <c r="E583" s="183">
        <v>4787</v>
      </c>
      <c r="F583" s="161">
        <f t="shared" si="301"/>
        <v>1.0403175266346354</v>
      </c>
      <c r="G583" s="653">
        <v>4366</v>
      </c>
      <c r="H583" s="162">
        <v>4234</v>
      </c>
      <c r="I583" s="163">
        <f t="shared" si="302"/>
        <v>0.87670682730923699</v>
      </c>
      <c r="J583" s="163">
        <f t="shared" si="303"/>
        <v>0.88447879674117402</v>
      </c>
      <c r="K583" s="162">
        <v>4102</v>
      </c>
      <c r="L583" s="162">
        <v>3585</v>
      </c>
      <c r="M583" s="163">
        <f t="shared" si="304"/>
        <v>0.85690411531230415</v>
      </c>
      <c r="N583" s="164">
        <f t="shared" si="305"/>
        <v>0.96882380727444495</v>
      </c>
      <c r="O583" s="163">
        <v>0.86567780000000005</v>
      </c>
      <c r="P583" s="164">
        <v>0.97874349999999999</v>
      </c>
    </row>
    <row r="584" spans="1:16" ht="12.75" customHeight="1" thickBot="1" x14ac:dyDescent="0.25">
      <c r="A584" s="688"/>
      <c r="B584" s="693"/>
      <c r="C584" s="185" t="s">
        <v>52</v>
      </c>
      <c r="D584" s="186">
        <v>0</v>
      </c>
      <c r="E584" s="187">
        <v>0</v>
      </c>
      <c r="F584" s="188" t="s">
        <v>67</v>
      </c>
      <c r="G584" s="656">
        <v>0</v>
      </c>
      <c r="H584" s="189">
        <v>0</v>
      </c>
      <c r="I584" s="190" t="s">
        <v>67</v>
      </c>
      <c r="J584" s="190" t="s">
        <v>67</v>
      </c>
      <c r="K584" s="189">
        <v>0</v>
      </c>
      <c r="L584" s="189">
        <v>0</v>
      </c>
      <c r="M584" s="190" t="s">
        <v>67</v>
      </c>
      <c r="N584" s="191" t="s">
        <v>67</v>
      </c>
      <c r="O584" s="190" t="s">
        <v>67</v>
      </c>
      <c r="P584" s="191" t="s">
        <v>67</v>
      </c>
    </row>
    <row r="585" spans="1:16" ht="16.5" thickTop="1" thickBot="1" x14ac:dyDescent="0.25">
      <c r="A585" s="682" t="s">
        <v>606</v>
      </c>
      <c r="B585" s="683"/>
      <c r="C585" s="683"/>
      <c r="D585" s="683"/>
      <c r="E585" s="683"/>
      <c r="F585" s="683"/>
      <c r="G585" s="683"/>
      <c r="H585" s="683"/>
      <c r="I585" s="683"/>
      <c r="J585" s="683"/>
      <c r="K585" s="683"/>
      <c r="L585" s="683"/>
      <c r="M585" s="683"/>
      <c r="N585" s="683"/>
      <c r="O585" s="684"/>
      <c r="P585" s="685"/>
    </row>
    <row r="586" spans="1:16" x14ac:dyDescent="0.2">
      <c r="A586" s="180" t="s">
        <v>48</v>
      </c>
      <c r="B586" s="145"/>
      <c r="C586" s="145"/>
      <c r="D586" s="146">
        <v>10378</v>
      </c>
      <c r="E586" s="181">
        <v>9349</v>
      </c>
      <c r="F586" s="148">
        <f>D586/E586</f>
        <v>1.1100652476200663</v>
      </c>
      <c r="G586" s="651">
        <v>8869</v>
      </c>
      <c r="H586" s="149">
        <v>8284</v>
      </c>
      <c r="I586" s="150">
        <f t="shared" ref="I586:I588" si="306">G586/D586</f>
        <v>0.85459626132202737</v>
      </c>
      <c r="J586" s="150">
        <f>+H586/E586</f>
        <v>0.88608407316290516</v>
      </c>
      <c r="K586" s="149">
        <v>7796</v>
      </c>
      <c r="L586" s="149">
        <v>6753</v>
      </c>
      <c r="M586" s="150">
        <f t="shared" ref="M586:M588" si="307">+K586/E586</f>
        <v>0.83388597710985135</v>
      </c>
      <c r="N586" s="151">
        <f>K586/H586</f>
        <v>0.94109126026074363</v>
      </c>
      <c r="O586" s="150">
        <f>8051/E586</f>
        <v>0.8611616215638036</v>
      </c>
      <c r="P586" s="151">
        <f>8051/H586</f>
        <v>0.97187349106711729</v>
      </c>
    </row>
    <row r="587" spans="1:16" x14ac:dyDescent="0.2">
      <c r="A587" s="686" t="s">
        <v>49</v>
      </c>
      <c r="B587" s="689" t="s">
        <v>50</v>
      </c>
      <c r="C587" s="690"/>
      <c r="D587" s="152">
        <v>5549</v>
      </c>
      <c r="E587" s="182">
        <v>4908</v>
      </c>
      <c r="F587" s="154">
        <f>D587/E587</f>
        <v>1.1306030969845151</v>
      </c>
      <c r="G587" s="652">
        <v>4748</v>
      </c>
      <c r="H587" s="155">
        <v>4397</v>
      </c>
      <c r="I587" s="156">
        <f t="shared" si="306"/>
        <v>0.8556496666065958</v>
      </c>
      <c r="J587" s="156">
        <f t="shared" ref="J587:J588" si="308">+H587/E587</f>
        <v>0.89588427057864706</v>
      </c>
      <c r="K587" s="155">
        <v>4014</v>
      </c>
      <c r="L587" s="155">
        <v>3537</v>
      </c>
      <c r="M587" s="156">
        <f t="shared" si="307"/>
        <v>0.81784841075794623</v>
      </c>
      <c r="N587" s="157">
        <f t="shared" ref="N587:N588" si="309">K587/H587</f>
        <v>0.91289515578803726</v>
      </c>
      <c r="O587" s="156">
        <f>4202/E587</f>
        <v>0.85615321923390386</v>
      </c>
      <c r="P587" s="157">
        <f>4202/H587</f>
        <v>0.95565158062315214</v>
      </c>
    </row>
    <row r="588" spans="1:16" x14ac:dyDescent="0.2">
      <c r="A588" s="687"/>
      <c r="B588" s="691" t="s">
        <v>49</v>
      </c>
      <c r="C588" s="158" t="s">
        <v>51</v>
      </c>
      <c r="D588" s="159">
        <v>5549</v>
      </c>
      <c r="E588" s="183">
        <v>4908</v>
      </c>
      <c r="F588" s="161">
        <f t="shared" ref="F588" si="310">D588/E588</f>
        <v>1.1306030969845151</v>
      </c>
      <c r="G588" s="653">
        <v>4748</v>
      </c>
      <c r="H588" s="162">
        <v>4397</v>
      </c>
      <c r="I588" s="163">
        <f t="shared" si="306"/>
        <v>0.8556496666065958</v>
      </c>
      <c r="J588" s="163">
        <f t="shared" si="308"/>
        <v>0.89588427057864706</v>
      </c>
      <c r="K588" s="162">
        <v>4014</v>
      </c>
      <c r="L588" s="162">
        <v>3537</v>
      </c>
      <c r="M588" s="163">
        <f t="shared" si="307"/>
        <v>0.81784841075794623</v>
      </c>
      <c r="N588" s="164">
        <f t="shared" si="309"/>
        <v>0.91289515578803726</v>
      </c>
      <c r="O588" s="156">
        <f>4202/E588</f>
        <v>0.85615321923390386</v>
      </c>
      <c r="P588" s="157">
        <f>4202/H588</f>
        <v>0.95565158062315214</v>
      </c>
    </row>
    <row r="589" spans="1:16" x14ac:dyDescent="0.2">
      <c r="A589" s="687"/>
      <c r="B589" s="692"/>
      <c r="C589" s="165" t="s">
        <v>52</v>
      </c>
      <c r="D589" s="166">
        <v>0</v>
      </c>
      <c r="E589" s="184">
        <v>0</v>
      </c>
      <c r="F589" s="168" t="s">
        <v>67</v>
      </c>
      <c r="G589" s="654">
        <v>0</v>
      </c>
      <c r="H589" s="169">
        <v>0</v>
      </c>
      <c r="I589" s="170" t="s">
        <v>67</v>
      </c>
      <c r="J589" s="170" t="s">
        <v>67</v>
      </c>
      <c r="K589" s="169">
        <v>0</v>
      </c>
      <c r="L589" s="169">
        <v>0</v>
      </c>
      <c r="M589" s="170" t="s">
        <v>67</v>
      </c>
      <c r="N589" s="171" t="s">
        <v>67</v>
      </c>
      <c r="O589" s="170" t="s">
        <v>67</v>
      </c>
      <c r="P589" s="171" t="s">
        <v>67</v>
      </c>
    </row>
    <row r="590" spans="1:16" x14ac:dyDescent="0.2">
      <c r="A590" s="687"/>
      <c r="B590" s="689" t="s">
        <v>53</v>
      </c>
      <c r="C590" s="690"/>
      <c r="D590" s="152">
        <v>4829</v>
      </c>
      <c r="E590" s="182">
        <v>4585</v>
      </c>
      <c r="F590" s="154">
        <f t="shared" ref="F590:F591" si="311">D590/E590</f>
        <v>1.0532170119956379</v>
      </c>
      <c r="G590" s="655">
        <v>4121</v>
      </c>
      <c r="H590" s="155">
        <v>3975</v>
      </c>
      <c r="I590" s="156">
        <f t="shared" ref="I590:I591" si="312">G590/D590</f>
        <v>0.8533857941602816</v>
      </c>
      <c r="J590" s="156">
        <f t="shared" ref="J590:J591" si="313">+H590/E590</f>
        <v>0.86695747001090517</v>
      </c>
      <c r="K590" s="155">
        <v>3844</v>
      </c>
      <c r="L590" s="155">
        <v>3226</v>
      </c>
      <c r="M590" s="156">
        <f t="shared" ref="M590:M591" si="314">+K590/E590</f>
        <v>0.83838604143947659</v>
      </c>
      <c r="N590" s="157">
        <f t="shared" ref="N590:N591" si="315">K590/H590</f>
        <v>0.96704402515723276</v>
      </c>
      <c r="O590" s="156">
        <f>3924/E590</f>
        <v>0.85583424209378411</v>
      </c>
      <c r="P590" s="157">
        <f>3924/H590</f>
        <v>0.98716981132075476</v>
      </c>
    </row>
    <row r="591" spans="1:16" x14ac:dyDescent="0.2">
      <c r="A591" s="687"/>
      <c r="B591" s="691" t="s">
        <v>49</v>
      </c>
      <c r="C591" s="158" t="s">
        <v>51</v>
      </c>
      <c r="D591" s="159">
        <v>4829</v>
      </c>
      <c r="E591" s="183">
        <v>4585</v>
      </c>
      <c r="F591" s="161">
        <f t="shared" si="311"/>
        <v>1.0532170119956379</v>
      </c>
      <c r="G591" s="653">
        <v>4121</v>
      </c>
      <c r="H591" s="162">
        <v>3975</v>
      </c>
      <c r="I591" s="163">
        <f t="shared" si="312"/>
        <v>0.8533857941602816</v>
      </c>
      <c r="J591" s="163">
        <f t="shared" si="313"/>
        <v>0.86695747001090517</v>
      </c>
      <c r="K591" s="162">
        <v>3844</v>
      </c>
      <c r="L591" s="162">
        <v>3226</v>
      </c>
      <c r="M591" s="163">
        <f t="shared" si="314"/>
        <v>0.83838604143947659</v>
      </c>
      <c r="N591" s="164">
        <f t="shared" si="315"/>
        <v>0.96704402515723276</v>
      </c>
      <c r="O591" s="156">
        <f>3924/E591</f>
        <v>0.85583424209378411</v>
      </c>
      <c r="P591" s="157">
        <f>3924/H591</f>
        <v>0.98716981132075476</v>
      </c>
    </row>
    <row r="592" spans="1:16" ht="13.5" thickBot="1" x14ac:dyDescent="0.25">
      <c r="A592" s="688"/>
      <c r="B592" s="693"/>
      <c r="C592" s="185" t="s">
        <v>52</v>
      </c>
      <c r="D592" s="186">
        <v>0</v>
      </c>
      <c r="E592" s="187">
        <v>0</v>
      </c>
      <c r="F592" s="188" t="s">
        <v>67</v>
      </c>
      <c r="G592" s="656">
        <v>0</v>
      </c>
      <c r="H592" s="189">
        <v>0</v>
      </c>
      <c r="I592" s="190" t="s">
        <v>67</v>
      </c>
      <c r="J592" s="190" t="s">
        <v>67</v>
      </c>
      <c r="K592" s="189">
        <v>0</v>
      </c>
      <c r="L592" s="189">
        <v>0</v>
      </c>
      <c r="M592" s="190" t="s">
        <v>67</v>
      </c>
      <c r="N592" s="191" t="s">
        <v>67</v>
      </c>
      <c r="O592" s="190" t="s">
        <v>67</v>
      </c>
      <c r="P592" s="191" t="s">
        <v>67</v>
      </c>
    </row>
    <row r="593" spans="1:16" ht="16.5" thickTop="1" thickBot="1" x14ac:dyDescent="0.25">
      <c r="A593" s="682" t="s">
        <v>611</v>
      </c>
      <c r="B593" s="683"/>
      <c r="C593" s="683"/>
      <c r="D593" s="683"/>
      <c r="E593" s="683"/>
      <c r="F593" s="683"/>
      <c r="G593" s="683"/>
      <c r="H593" s="683"/>
      <c r="I593" s="683"/>
      <c r="J593" s="683"/>
      <c r="K593" s="683"/>
      <c r="L593" s="683"/>
      <c r="M593" s="683"/>
      <c r="N593" s="683"/>
      <c r="O593" s="684"/>
      <c r="P593" s="685"/>
    </row>
    <row r="594" spans="1:16" x14ac:dyDescent="0.2">
      <c r="A594" s="180" t="s">
        <v>48</v>
      </c>
      <c r="B594" s="145"/>
      <c r="C594" s="145"/>
      <c r="D594" s="146">
        <v>10757</v>
      </c>
      <c r="E594" s="181">
        <v>9786</v>
      </c>
      <c r="F594" s="148">
        <f>D594/E594</f>
        <v>1.0992233803392601</v>
      </c>
      <c r="G594" s="651">
        <v>9651</v>
      </c>
      <c r="H594" s="149">
        <v>9063</v>
      </c>
      <c r="I594" s="150">
        <f t="shared" ref="I594:I596" si="316">G594/D594</f>
        <v>0.89718322952496055</v>
      </c>
      <c r="J594" s="150">
        <f>+H594/E594</f>
        <v>0.92611894543225015</v>
      </c>
      <c r="K594" s="149">
        <v>8600</v>
      </c>
      <c r="L594" s="149">
        <v>7349</v>
      </c>
      <c r="M594" s="150">
        <f t="shared" ref="M594:M596" si="317">+K594/E594</f>
        <v>0.87880645820559988</v>
      </c>
      <c r="N594" s="151">
        <f>K594/H594</f>
        <v>0.94891316341167387</v>
      </c>
      <c r="O594" s="150">
        <f>8781/E594</f>
        <v>0.89730226854690376</v>
      </c>
      <c r="P594" s="151">
        <f>8780/H594</f>
        <v>0.96877413659936007</v>
      </c>
    </row>
    <row r="595" spans="1:16" x14ac:dyDescent="0.2">
      <c r="A595" s="686" t="s">
        <v>49</v>
      </c>
      <c r="B595" s="689" t="s">
        <v>50</v>
      </c>
      <c r="C595" s="690"/>
      <c r="D595" s="152">
        <v>6123</v>
      </c>
      <c r="E595" s="182">
        <v>5464</v>
      </c>
      <c r="F595" s="154">
        <f>D595/E595</f>
        <v>1.1206076134699854</v>
      </c>
      <c r="G595" s="652">
        <v>5420</v>
      </c>
      <c r="H595" s="155">
        <v>4908</v>
      </c>
      <c r="I595" s="156">
        <f t="shared" si="316"/>
        <v>0.88518699983668137</v>
      </c>
      <c r="J595" s="156">
        <f t="shared" ref="J595:J596" si="318">+H595/E595</f>
        <v>0.89824304538799415</v>
      </c>
      <c r="K595" s="155">
        <v>4666</v>
      </c>
      <c r="L595" s="155">
        <v>4061</v>
      </c>
      <c r="M595" s="156">
        <f t="shared" si="317"/>
        <v>0.85395314787701315</v>
      </c>
      <c r="N595" s="157">
        <f t="shared" ref="N595:N596" si="319">K595/H595</f>
        <v>0.95069274653626734</v>
      </c>
      <c r="O595" s="156">
        <f>4796/E595</f>
        <v>0.87774524158125911</v>
      </c>
      <c r="P595" s="157">
        <f>4202/H595</f>
        <v>0.85615321923390386</v>
      </c>
    </row>
    <row r="596" spans="1:16" x14ac:dyDescent="0.2">
      <c r="A596" s="687"/>
      <c r="B596" s="691" t="s">
        <v>49</v>
      </c>
      <c r="C596" s="158" t="s">
        <v>51</v>
      </c>
      <c r="D596" s="159">
        <v>6123</v>
      </c>
      <c r="E596" s="183">
        <v>5464</v>
      </c>
      <c r="F596" s="161">
        <f t="shared" ref="F596" si="320">D596/E596</f>
        <v>1.1206076134699854</v>
      </c>
      <c r="G596" s="653">
        <v>5420</v>
      </c>
      <c r="H596" s="162">
        <v>4908</v>
      </c>
      <c r="I596" s="163">
        <f t="shared" si="316"/>
        <v>0.88518699983668137</v>
      </c>
      <c r="J596" s="163">
        <f t="shared" si="318"/>
        <v>0.89824304538799415</v>
      </c>
      <c r="K596" s="162">
        <v>4666</v>
      </c>
      <c r="L596" s="162">
        <v>4061</v>
      </c>
      <c r="M596" s="163">
        <f t="shared" si="317"/>
        <v>0.85395314787701315</v>
      </c>
      <c r="N596" s="164">
        <f t="shared" si="319"/>
        <v>0.95069274653626734</v>
      </c>
      <c r="O596" s="156">
        <f>4796/E596</f>
        <v>0.87774524158125911</v>
      </c>
      <c r="P596" s="157">
        <f>4796/H596</f>
        <v>0.97718011409942951</v>
      </c>
    </row>
    <row r="597" spans="1:16" x14ac:dyDescent="0.2">
      <c r="A597" s="687"/>
      <c r="B597" s="692"/>
      <c r="C597" s="165" t="s">
        <v>52</v>
      </c>
      <c r="D597" s="166">
        <v>0</v>
      </c>
      <c r="E597" s="184">
        <v>0</v>
      </c>
      <c r="F597" s="168" t="s">
        <v>67</v>
      </c>
      <c r="G597" s="654">
        <v>0</v>
      </c>
      <c r="H597" s="169">
        <v>0</v>
      </c>
      <c r="I597" s="170" t="s">
        <v>67</v>
      </c>
      <c r="J597" s="170" t="s">
        <v>67</v>
      </c>
      <c r="K597" s="169">
        <v>0</v>
      </c>
      <c r="L597" s="169">
        <v>0</v>
      </c>
      <c r="M597" s="170" t="s">
        <v>67</v>
      </c>
      <c r="N597" s="171" t="s">
        <v>67</v>
      </c>
      <c r="O597" s="170" t="s">
        <v>67</v>
      </c>
      <c r="P597" s="171" t="s">
        <v>67</v>
      </c>
    </row>
    <row r="598" spans="1:16" x14ac:dyDescent="0.2">
      <c r="A598" s="687"/>
      <c r="B598" s="689" t="s">
        <v>53</v>
      </c>
      <c r="C598" s="690"/>
      <c r="D598" s="152">
        <v>4634</v>
      </c>
      <c r="E598" s="182">
        <v>4445</v>
      </c>
      <c r="F598" s="154">
        <f t="shared" ref="F598:F599" si="321">D598/E598</f>
        <v>1.0425196850393701</v>
      </c>
      <c r="G598" s="655">
        <v>4271</v>
      </c>
      <c r="H598" s="155">
        <v>4127</v>
      </c>
      <c r="I598" s="156">
        <f t="shared" ref="I598:I599" si="322">G598/D598</f>
        <v>0.92166594734570562</v>
      </c>
      <c r="J598" s="156">
        <f t="shared" ref="J598:J599" si="323">+H598/E598</f>
        <v>0.92845894263217099</v>
      </c>
      <c r="K598" s="155">
        <v>4001</v>
      </c>
      <c r="L598" s="155">
        <v>3291</v>
      </c>
      <c r="M598" s="156">
        <f t="shared" ref="M598:M599" si="324">+K598/E598</f>
        <v>0.90011248593925763</v>
      </c>
      <c r="N598" s="157">
        <f t="shared" ref="N598:N599" si="325">K598/H598</f>
        <v>0.96946934819481467</v>
      </c>
      <c r="O598" s="156">
        <f>4057/E598</f>
        <v>0.91271091113610803</v>
      </c>
      <c r="P598" s="157">
        <f>4057/H598</f>
        <v>0.983038526774897</v>
      </c>
    </row>
    <row r="599" spans="1:16" x14ac:dyDescent="0.2">
      <c r="A599" s="687"/>
      <c r="B599" s="691" t="s">
        <v>49</v>
      </c>
      <c r="C599" s="158" t="s">
        <v>51</v>
      </c>
      <c r="D599" s="159">
        <v>4634</v>
      </c>
      <c r="E599" s="183">
        <v>4445</v>
      </c>
      <c r="F599" s="161">
        <f t="shared" si="321"/>
        <v>1.0425196850393701</v>
      </c>
      <c r="G599" s="653">
        <v>4271</v>
      </c>
      <c r="H599" s="162">
        <v>4127</v>
      </c>
      <c r="I599" s="163">
        <f t="shared" si="322"/>
        <v>0.92166594734570562</v>
      </c>
      <c r="J599" s="163">
        <f t="shared" si="323"/>
        <v>0.92845894263217099</v>
      </c>
      <c r="K599" s="162">
        <v>4001</v>
      </c>
      <c r="L599" s="162">
        <v>3291</v>
      </c>
      <c r="M599" s="163">
        <f t="shared" si="324"/>
        <v>0.90011248593925763</v>
      </c>
      <c r="N599" s="164">
        <f t="shared" si="325"/>
        <v>0.96946934819481467</v>
      </c>
      <c r="O599" s="156">
        <f>4057/E599</f>
        <v>0.91271091113610803</v>
      </c>
      <c r="P599" s="157">
        <f>4057/H599</f>
        <v>0.983038526774897</v>
      </c>
    </row>
    <row r="600" spans="1:16" ht="13.5" thickBot="1" x14ac:dyDescent="0.25">
      <c r="A600" s="688"/>
      <c r="B600" s="693"/>
      <c r="C600" s="185" t="s">
        <v>52</v>
      </c>
      <c r="D600" s="186">
        <v>0</v>
      </c>
      <c r="E600" s="187">
        <v>0</v>
      </c>
      <c r="F600" s="188" t="s">
        <v>67</v>
      </c>
      <c r="G600" s="656">
        <v>0</v>
      </c>
      <c r="H600" s="189">
        <v>0</v>
      </c>
      <c r="I600" s="190" t="s">
        <v>67</v>
      </c>
      <c r="J600" s="190" t="s">
        <v>67</v>
      </c>
      <c r="K600" s="189">
        <v>0</v>
      </c>
      <c r="L600" s="189">
        <v>0</v>
      </c>
      <c r="M600" s="190" t="s">
        <v>67</v>
      </c>
      <c r="N600" s="191" t="s">
        <v>67</v>
      </c>
      <c r="O600" s="190" t="s">
        <v>67</v>
      </c>
      <c r="P600" s="191" t="s">
        <v>67</v>
      </c>
    </row>
    <row r="601" spans="1:16" ht="16.5" thickTop="1" thickBot="1" x14ac:dyDescent="0.25">
      <c r="A601" s="682" t="s">
        <v>618</v>
      </c>
      <c r="B601" s="683"/>
      <c r="C601" s="683"/>
      <c r="D601" s="683"/>
      <c r="E601" s="683"/>
      <c r="F601" s="683"/>
      <c r="G601" s="683"/>
      <c r="H601" s="683"/>
      <c r="I601" s="683"/>
      <c r="J601" s="683"/>
      <c r="K601" s="683"/>
      <c r="L601" s="683"/>
      <c r="M601" s="683"/>
      <c r="N601" s="683"/>
      <c r="O601" s="684"/>
      <c r="P601" s="685"/>
    </row>
    <row r="602" spans="1:16" x14ac:dyDescent="0.2">
      <c r="A602" s="180" t="s">
        <v>48</v>
      </c>
      <c r="B602" s="145"/>
      <c r="C602" s="145"/>
      <c r="D602" s="146">
        <v>11288</v>
      </c>
      <c r="E602" s="181">
        <v>10143</v>
      </c>
      <c r="F602" s="148">
        <f>D602/E602</f>
        <v>1.1128857340037464</v>
      </c>
      <c r="G602" s="651">
        <v>9959</v>
      </c>
      <c r="H602" s="149">
        <v>9250</v>
      </c>
      <c r="I602" s="150">
        <f t="shared" ref="I602:I604" si="326">G602/D602</f>
        <v>0.88226435152374205</v>
      </c>
      <c r="J602" s="150">
        <f>+H602/E602</f>
        <v>0.91195898649314799</v>
      </c>
      <c r="K602" s="149">
        <v>8756</v>
      </c>
      <c r="L602" s="149">
        <v>7569</v>
      </c>
      <c r="M602" s="150">
        <f t="shared" ref="M602:M604" si="327">+K602/E602</f>
        <v>0.8632554471063788</v>
      </c>
      <c r="N602" s="151">
        <f>K602/H602</f>
        <v>0.94659459459459461</v>
      </c>
      <c r="O602" s="150">
        <f>8942/E602</f>
        <v>0.88159321699694371</v>
      </c>
      <c r="P602" s="151">
        <f>8942/H602</f>
        <v>0.96670270270270275</v>
      </c>
    </row>
    <row r="603" spans="1:16" x14ac:dyDescent="0.2">
      <c r="A603" s="686" t="s">
        <v>49</v>
      </c>
      <c r="B603" s="689" t="s">
        <v>50</v>
      </c>
      <c r="C603" s="690"/>
      <c r="D603" s="152">
        <v>6740</v>
      </c>
      <c r="E603" s="182">
        <v>5916</v>
      </c>
      <c r="F603" s="154">
        <f>D603/E603</f>
        <v>1.1392832995267073</v>
      </c>
      <c r="G603" s="652">
        <v>5820</v>
      </c>
      <c r="H603" s="155">
        <v>5325</v>
      </c>
      <c r="I603" s="156">
        <f t="shared" si="326"/>
        <v>0.86350148367952517</v>
      </c>
      <c r="J603" s="156">
        <f t="shared" ref="J603:J604" si="328">+H603/E603</f>
        <v>0.90010141987829617</v>
      </c>
      <c r="K603" s="155">
        <v>4905</v>
      </c>
      <c r="L603" s="155">
        <v>4324</v>
      </c>
      <c r="M603" s="156">
        <f t="shared" si="327"/>
        <v>0.82910750507099396</v>
      </c>
      <c r="N603" s="157">
        <f t="shared" ref="N603:N604" si="329">K603/H603</f>
        <v>0.92112676056338028</v>
      </c>
      <c r="O603" s="156">
        <f>5060/E603</f>
        <v>0.85530764029749828</v>
      </c>
      <c r="P603" s="157">
        <f>5060/H603</f>
        <v>0.95023474178403755</v>
      </c>
    </row>
    <row r="604" spans="1:16" x14ac:dyDescent="0.2">
      <c r="A604" s="687"/>
      <c r="B604" s="691" t="s">
        <v>49</v>
      </c>
      <c r="C604" s="158" t="s">
        <v>51</v>
      </c>
      <c r="D604" s="159">
        <v>6740</v>
      </c>
      <c r="E604" s="183">
        <v>5916</v>
      </c>
      <c r="F604" s="161">
        <f t="shared" ref="F604" si="330">D604/E604</f>
        <v>1.1392832995267073</v>
      </c>
      <c r="G604" s="653">
        <v>5820</v>
      </c>
      <c r="H604" s="162">
        <v>5325</v>
      </c>
      <c r="I604" s="163">
        <f t="shared" si="326"/>
        <v>0.86350148367952517</v>
      </c>
      <c r="J604" s="163">
        <f t="shared" si="328"/>
        <v>0.90010141987829617</v>
      </c>
      <c r="K604" s="162">
        <v>4905</v>
      </c>
      <c r="L604" s="162">
        <v>4324</v>
      </c>
      <c r="M604" s="163">
        <f t="shared" si="327"/>
        <v>0.82910750507099396</v>
      </c>
      <c r="N604" s="164">
        <f t="shared" si="329"/>
        <v>0.92112676056338028</v>
      </c>
      <c r="O604" s="156">
        <f>5060/E604</f>
        <v>0.85530764029749828</v>
      </c>
      <c r="P604" s="157">
        <f>5060/H604</f>
        <v>0.95023474178403755</v>
      </c>
    </row>
    <row r="605" spans="1:16" x14ac:dyDescent="0.2">
      <c r="A605" s="687"/>
      <c r="B605" s="692"/>
      <c r="C605" s="165" t="s">
        <v>52</v>
      </c>
      <c r="D605" s="166">
        <v>0</v>
      </c>
      <c r="E605" s="184">
        <v>0</v>
      </c>
      <c r="F605" s="168" t="s">
        <v>67</v>
      </c>
      <c r="G605" s="654">
        <v>0</v>
      </c>
      <c r="H605" s="169">
        <v>0</v>
      </c>
      <c r="I605" s="170" t="s">
        <v>67</v>
      </c>
      <c r="J605" s="170" t="s">
        <v>67</v>
      </c>
      <c r="K605" s="169">
        <v>0</v>
      </c>
      <c r="L605" s="169">
        <v>0</v>
      </c>
      <c r="M605" s="170" t="s">
        <v>67</v>
      </c>
      <c r="N605" s="171" t="s">
        <v>67</v>
      </c>
      <c r="O605" s="170" t="s">
        <v>67</v>
      </c>
      <c r="P605" s="171" t="s">
        <v>67</v>
      </c>
    </row>
    <row r="606" spans="1:16" x14ac:dyDescent="0.2">
      <c r="A606" s="687"/>
      <c r="B606" s="689" t="s">
        <v>53</v>
      </c>
      <c r="C606" s="690"/>
      <c r="D606" s="152">
        <v>4548</v>
      </c>
      <c r="E606" s="182">
        <v>4377</v>
      </c>
      <c r="F606" s="154">
        <f t="shared" ref="F606:F607" si="331">D606/E606</f>
        <v>1.0390678546949965</v>
      </c>
      <c r="G606" s="655">
        <v>4139</v>
      </c>
      <c r="H606" s="155">
        <v>4029</v>
      </c>
      <c r="I606" s="156">
        <f t="shared" ref="I606:I607" si="332">G606/D606</f>
        <v>0.91007036059806512</v>
      </c>
      <c r="J606" s="156">
        <f t="shared" ref="J606:J607" si="333">+H606/E606</f>
        <v>0.92049348869088421</v>
      </c>
      <c r="K606" s="155">
        <v>3925</v>
      </c>
      <c r="L606" s="155">
        <v>3251</v>
      </c>
      <c r="M606" s="156">
        <f t="shared" ref="M606:M607" si="334">+K606/E606</f>
        <v>0.89673292209275757</v>
      </c>
      <c r="N606" s="157">
        <f t="shared" ref="N606:N607" si="335">K606/H606</f>
        <v>0.97418714321171507</v>
      </c>
      <c r="O606" s="156">
        <f>3966/E606</f>
        <v>0.90610006854009595</v>
      </c>
      <c r="P606" s="157">
        <f>3966/H606</f>
        <v>0.98436336559940429</v>
      </c>
    </row>
    <row r="607" spans="1:16" x14ac:dyDescent="0.2">
      <c r="A607" s="687"/>
      <c r="B607" s="691" t="s">
        <v>49</v>
      </c>
      <c r="C607" s="158" t="s">
        <v>51</v>
      </c>
      <c r="D607" s="159">
        <v>4548</v>
      </c>
      <c r="E607" s="183">
        <v>4377</v>
      </c>
      <c r="F607" s="161">
        <f t="shared" si="331"/>
        <v>1.0390678546949965</v>
      </c>
      <c r="G607" s="653">
        <v>4139</v>
      </c>
      <c r="H607" s="162">
        <v>4029</v>
      </c>
      <c r="I607" s="163">
        <f t="shared" si="332"/>
        <v>0.91007036059806512</v>
      </c>
      <c r="J607" s="163">
        <f t="shared" si="333"/>
        <v>0.92049348869088421</v>
      </c>
      <c r="K607" s="162">
        <v>3925</v>
      </c>
      <c r="L607" s="162">
        <v>3251</v>
      </c>
      <c r="M607" s="163">
        <f t="shared" si="334"/>
        <v>0.89673292209275757</v>
      </c>
      <c r="N607" s="164">
        <f t="shared" si="335"/>
        <v>0.97418714321171507</v>
      </c>
      <c r="O607" s="156">
        <f>3966/E607</f>
        <v>0.90610006854009595</v>
      </c>
      <c r="P607" s="157">
        <f>3966/H607</f>
        <v>0.98436336559940429</v>
      </c>
    </row>
    <row r="608" spans="1:16" ht="13.5" thickBot="1" x14ac:dyDescent="0.25">
      <c r="A608" s="688"/>
      <c r="B608" s="693"/>
      <c r="C608" s="185" t="s">
        <v>52</v>
      </c>
      <c r="D608" s="186">
        <v>0</v>
      </c>
      <c r="E608" s="187">
        <v>0</v>
      </c>
      <c r="F608" s="188" t="s">
        <v>67</v>
      </c>
      <c r="G608" s="656">
        <v>0</v>
      </c>
      <c r="H608" s="189">
        <v>0</v>
      </c>
      <c r="I608" s="190" t="s">
        <v>67</v>
      </c>
      <c r="J608" s="190" t="s">
        <v>67</v>
      </c>
      <c r="K608" s="189">
        <v>0</v>
      </c>
      <c r="L608" s="189">
        <v>0</v>
      </c>
      <c r="M608" s="190" t="s">
        <v>67</v>
      </c>
      <c r="N608" s="191" t="s">
        <v>67</v>
      </c>
      <c r="O608" s="190" t="s">
        <v>67</v>
      </c>
      <c r="P608" s="191" t="s">
        <v>67</v>
      </c>
    </row>
    <row r="609" spans="1:10" ht="13.5" thickTop="1" x14ac:dyDescent="0.2">
      <c r="A609" s="6" t="s">
        <v>55</v>
      </c>
      <c r="D609" s="236"/>
      <c r="E609" s="236"/>
      <c r="F609" s="236"/>
      <c r="G609" s="236"/>
      <c r="H609" s="236"/>
      <c r="I609" s="237"/>
      <c r="J609" s="237"/>
    </row>
  </sheetData>
  <mergeCells count="457">
    <mergeCell ref="A601:P601"/>
    <mergeCell ref="A603:A608"/>
    <mergeCell ref="B603:C603"/>
    <mergeCell ref="B604:B605"/>
    <mergeCell ref="B606:C606"/>
    <mergeCell ref="B607:B608"/>
    <mergeCell ref="A196:P196"/>
    <mergeCell ref="A198:A203"/>
    <mergeCell ref="B198:C198"/>
    <mergeCell ref="B199:B200"/>
    <mergeCell ref="B201:C201"/>
    <mergeCell ref="B202:B203"/>
    <mergeCell ref="A399:P399"/>
    <mergeCell ref="A401:A406"/>
    <mergeCell ref="B401:C401"/>
    <mergeCell ref="B402:B403"/>
    <mergeCell ref="B404:C404"/>
    <mergeCell ref="B405:B406"/>
    <mergeCell ref="A391:P391"/>
    <mergeCell ref="A393:A398"/>
    <mergeCell ref="B393:C393"/>
    <mergeCell ref="B394:B395"/>
    <mergeCell ref="B396:C396"/>
    <mergeCell ref="B397:B398"/>
    <mergeCell ref="A593:P593"/>
    <mergeCell ref="A595:A600"/>
    <mergeCell ref="B595:C595"/>
    <mergeCell ref="B596:B597"/>
    <mergeCell ref="B598:C598"/>
    <mergeCell ref="B599:B600"/>
    <mergeCell ref="A417:N417"/>
    <mergeCell ref="A419:A424"/>
    <mergeCell ref="B419:C419"/>
    <mergeCell ref="B420:B421"/>
    <mergeCell ref="B422:C422"/>
    <mergeCell ref="B423:B424"/>
    <mergeCell ref="A441:N441"/>
    <mergeCell ref="A443:A448"/>
    <mergeCell ref="B443:C443"/>
    <mergeCell ref="B444:B445"/>
    <mergeCell ref="B446:C446"/>
    <mergeCell ref="B447:B448"/>
    <mergeCell ref="A433:N433"/>
    <mergeCell ref="A435:A440"/>
    <mergeCell ref="B435:C435"/>
    <mergeCell ref="B436:B437"/>
    <mergeCell ref="B438:C438"/>
    <mergeCell ref="B439:B440"/>
    <mergeCell ref="A383:P383"/>
    <mergeCell ref="A385:A390"/>
    <mergeCell ref="B385:C385"/>
    <mergeCell ref="B386:B387"/>
    <mergeCell ref="B388:C388"/>
    <mergeCell ref="B389:B390"/>
    <mergeCell ref="A579:A584"/>
    <mergeCell ref="B579:C579"/>
    <mergeCell ref="B580:B581"/>
    <mergeCell ref="B582:C582"/>
    <mergeCell ref="B583:B584"/>
    <mergeCell ref="A577:P577"/>
    <mergeCell ref="A409:N409"/>
    <mergeCell ref="A411:A416"/>
    <mergeCell ref="B411:C411"/>
    <mergeCell ref="B412:B413"/>
    <mergeCell ref="B414:C414"/>
    <mergeCell ref="B415:B416"/>
    <mergeCell ref="A425:N425"/>
    <mergeCell ref="A427:A432"/>
    <mergeCell ref="B427:C427"/>
    <mergeCell ref="B428:B429"/>
    <mergeCell ref="B430:C430"/>
    <mergeCell ref="B431:B432"/>
    <mergeCell ref="A174:A179"/>
    <mergeCell ref="B174:C174"/>
    <mergeCell ref="B175:B176"/>
    <mergeCell ref="B177:C177"/>
    <mergeCell ref="B178:B179"/>
    <mergeCell ref="B213:B214"/>
    <mergeCell ref="A231:N231"/>
    <mergeCell ref="A233:A238"/>
    <mergeCell ref="B233:C233"/>
    <mergeCell ref="B234:B235"/>
    <mergeCell ref="B236:C236"/>
    <mergeCell ref="B237:B238"/>
    <mergeCell ref="A223:N223"/>
    <mergeCell ref="A225:A230"/>
    <mergeCell ref="B225:C225"/>
    <mergeCell ref="B226:B227"/>
    <mergeCell ref="B228:C228"/>
    <mergeCell ref="B229:B230"/>
    <mergeCell ref="B217:C217"/>
    <mergeCell ref="B218:B219"/>
    <mergeCell ref="B220:C220"/>
    <mergeCell ref="B221:B222"/>
    <mergeCell ref="A207:N207"/>
    <mergeCell ref="A209:A214"/>
    <mergeCell ref="B209:C209"/>
    <mergeCell ref="B210:B211"/>
    <mergeCell ref="B212:C212"/>
    <mergeCell ref="A377:A382"/>
    <mergeCell ref="B377:C377"/>
    <mergeCell ref="B378:B379"/>
    <mergeCell ref="B380:C380"/>
    <mergeCell ref="B381:B382"/>
    <mergeCell ref="A375:P375"/>
    <mergeCell ref="A319:N319"/>
    <mergeCell ref="A321:A326"/>
    <mergeCell ref="B321:C321"/>
    <mergeCell ref="B322:B323"/>
    <mergeCell ref="B324:C324"/>
    <mergeCell ref="B325:B326"/>
    <mergeCell ref="A311:N311"/>
    <mergeCell ref="A313:A318"/>
    <mergeCell ref="B313:C313"/>
    <mergeCell ref="B314:B315"/>
    <mergeCell ref="B316:C316"/>
    <mergeCell ref="B317:B318"/>
    <mergeCell ref="A335:N335"/>
    <mergeCell ref="A337:A342"/>
    <mergeCell ref="B337:C337"/>
    <mergeCell ref="A28:N28"/>
    <mergeCell ref="A30:A35"/>
    <mergeCell ref="B30:C30"/>
    <mergeCell ref="A132:N132"/>
    <mergeCell ref="A134:A139"/>
    <mergeCell ref="A52:N52"/>
    <mergeCell ref="A54:A59"/>
    <mergeCell ref="B54:C54"/>
    <mergeCell ref="B55:B56"/>
    <mergeCell ref="B57:C57"/>
    <mergeCell ref="B58:B59"/>
    <mergeCell ref="B118:C118"/>
    <mergeCell ref="B119:B120"/>
    <mergeCell ref="B121:C121"/>
    <mergeCell ref="B122:B123"/>
    <mergeCell ref="A44:N44"/>
    <mergeCell ref="A46:A51"/>
    <mergeCell ref="B46:C46"/>
    <mergeCell ref="B47:B48"/>
    <mergeCell ref="B49:C49"/>
    <mergeCell ref="B50:B51"/>
    <mergeCell ref="B31:B32"/>
    <mergeCell ref="A36:N36"/>
    <mergeCell ref="A38:A43"/>
    <mergeCell ref="A1:M1"/>
    <mergeCell ref="A4:N4"/>
    <mergeCell ref="A6:A11"/>
    <mergeCell ref="B6:C6"/>
    <mergeCell ref="B7:B8"/>
    <mergeCell ref="B9:C9"/>
    <mergeCell ref="B10:B11"/>
    <mergeCell ref="A20:N20"/>
    <mergeCell ref="A22:A27"/>
    <mergeCell ref="B22:C22"/>
    <mergeCell ref="B23:B24"/>
    <mergeCell ref="B25:C25"/>
    <mergeCell ref="B26:B27"/>
    <mergeCell ref="A12:N12"/>
    <mergeCell ref="A14:A19"/>
    <mergeCell ref="B14:C14"/>
    <mergeCell ref="B17:C17"/>
    <mergeCell ref="B15:B16"/>
    <mergeCell ref="B18:B19"/>
    <mergeCell ref="B38:C38"/>
    <mergeCell ref="B39:B40"/>
    <mergeCell ref="B41:C41"/>
    <mergeCell ref="B42:B43"/>
    <mergeCell ref="B34:B35"/>
    <mergeCell ref="B33:C33"/>
    <mergeCell ref="A68:N68"/>
    <mergeCell ref="A70:A75"/>
    <mergeCell ref="B70:C70"/>
    <mergeCell ref="B71:B72"/>
    <mergeCell ref="B73:C73"/>
    <mergeCell ref="B74:B75"/>
    <mergeCell ref="A60:N60"/>
    <mergeCell ref="A62:A67"/>
    <mergeCell ref="B62:C62"/>
    <mergeCell ref="B63:B64"/>
    <mergeCell ref="B65:C65"/>
    <mergeCell ref="B66:B67"/>
    <mergeCell ref="A100:N100"/>
    <mergeCell ref="A102:A107"/>
    <mergeCell ref="B102:C102"/>
    <mergeCell ref="B103:B104"/>
    <mergeCell ref="B105:C105"/>
    <mergeCell ref="B106:B107"/>
    <mergeCell ref="A76:N76"/>
    <mergeCell ref="A78:A83"/>
    <mergeCell ref="B78:C78"/>
    <mergeCell ref="B79:B80"/>
    <mergeCell ref="B81:C81"/>
    <mergeCell ref="B82:B83"/>
    <mergeCell ref="A84:N84"/>
    <mergeCell ref="A86:A91"/>
    <mergeCell ref="B86:C86"/>
    <mergeCell ref="B87:B88"/>
    <mergeCell ref="B89:C89"/>
    <mergeCell ref="B90:B91"/>
    <mergeCell ref="A92:N92"/>
    <mergeCell ref="A94:A99"/>
    <mergeCell ref="B94:C94"/>
    <mergeCell ref="B95:B96"/>
    <mergeCell ref="B97:C97"/>
    <mergeCell ref="B98:B99"/>
    <mergeCell ref="B138:B139"/>
    <mergeCell ref="A124:N124"/>
    <mergeCell ref="A126:A131"/>
    <mergeCell ref="B126:C126"/>
    <mergeCell ref="B127:B128"/>
    <mergeCell ref="B129:C129"/>
    <mergeCell ref="B130:B131"/>
    <mergeCell ref="A116:N116"/>
    <mergeCell ref="A118:A123"/>
    <mergeCell ref="A108:N108"/>
    <mergeCell ref="A110:A115"/>
    <mergeCell ref="B110:C110"/>
    <mergeCell ref="B111:B112"/>
    <mergeCell ref="B113:C113"/>
    <mergeCell ref="B114:B115"/>
    <mergeCell ref="B134:C134"/>
    <mergeCell ref="B135:B136"/>
    <mergeCell ref="B137:C137"/>
    <mergeCell ref="A481:N481"/>
    <mergeCell ref="A483:A488"/>
    <mergeCell ref="B483:C483"/>
    <mergeCell ref="B484:B485"/>
    <mergeCell ref="B486:C486"/>
    <mergeCell ref="B487:B488"/>
    <mergeCell ref="A449:N449"/>
    <mergeCell ref="A451:A456"/>
    <mergeCell ref="B451:C451"/>
    <mergeCell ref="B452:B453"/>
    <mergeCell ref="B454:C454"/>
    <mergeCell ref="B455:B456"/>
    <mergeCell ref="A457:N457"/>
    <mergeCell ref="A459:A464"/>
    <mergeCell ref="B459:C459"/>
    <mergeCell ref="B460:B461"/>
    <mergeCell ref="B462:C462"/>
    <mergeCell ref="B463:B464"/>
    <mergeCell ref="A465:N465"/>
    <mergeCell ref="A467:A472"/>
    <mergeCell ref="B467:C467"/>
    <mergeCell ref="B468:B469"/>
    <mergeCell ref="B470:C470"/>
    <mergeCell ref="B471:B472"/>
    <mergeCell ref="A473:N473"/>
    <mergeCell ref="A475:A480"/>
    <mergeCell ref="B475:C475"/>
    <mergeCell ref="B476:B477"/>
    <mergeCell ref="B478:C478"/>
    <mergeCell ref="B479:B480"/>
    <mergeCell ref="B510:C510"/>
    <mergeCell ref="B511:B512"/>
    <mergeCell ref="A505:N505"/>
    <mergeCell ref="A507:A512"/>
    <mergeCell ref="B507:C507"/>
    <mergeCell ref="B508:B509"/>
    <mergeCell ref="A497:N497"/>
    <mergeCell ref="A499:A504"/>
    <mergeCell ref="B499:C499"/>
    <mergeCell ref="B500:B501"/>
    <mergeCell ref="B502:C502"/>
    <mergeCell ref="B503:B504"/>
    <mergeCell ref="A489:N489"/>
    <mergeCell ref="A491:A496"/>
    <mergeCell ref="B491:C491"/>
    <mergeCell ref="B492:B493"/>
    <mergeCell ref="B494:C494"/>
    <mergeCell ref="B495:B496"/>
    <mergeCell ref="A140:N140"/>
    <mergeCell ref="A142:A147"/>
    <mergeCell ref="B142:C142"/>
    <mergeCell ref="B143:B144"/>
    <mergeCell ref="B145:C145"/>
    <mergeCell ref="B146:B147"/>
    <mergeCell ref="A343:N343"/>
    <mergeCell ref="A345:A350"/>
    <mergeCell ref="B345:C345"/>
    <mergeCell ref="B346:B347"/>
    <mergeCell ref="B348:C348"/>
    <mergeCell ref="B349:B350"/>
    <mergeCell ref="A303:N303"/>
    <mergeCell ref="A305:A310"/>
    <mergeCell ref="B305:C305"/>
    <mergeCell ref="B306:B307"/>
    <mergeCell ref="B308:C308"/>
    <mergeCell ref="B309:B310"/>
    <mergeCell ref="A247:N247"/>
    <mergeCell ref="A249:A254"/>
    <mergeCell ref="B249:C249"/>
    <mergeCell ref="B250:B251"/>
    <mergeCell ref="B252:C252"/>
    <mergeCell ref="B253:B254"/>
    <mergeCell ref="A537:N537"/>
    <mergeCell ref="A539:A544"/>
    <mergeCell ref="B539:C539"/>
    <mergeCell ref="B540:B541"/>
    <mergeCell ref="B542:C542"/>
    <mergeCell ref="B543:B544"/>
    <mergeCell ref="A521:N521"/>
    <mergeCell ref="A523:A528"/>
    <mergeCell ref="B523:C523"/>
    <mergeCell ref="B524:B525"/>
    <mergeCell ref="B526:C526"/>
    <mergeCell ref="B527:B528"/>
    <mergeCell ref="A529:N529"/>
    <mergeCell ref="A531:A536"/>
    <mergeCell ref="B531:C531"/>
    <mergeCell ref="B532:B533"/>
    <mergeCell ref="B534:C534"/>
    <mergeCell ref="B535:B536"/>
    <mergeCell ref="A148:N148"/>
    <mergeCell ref="A150:A155"/>
    <mergeCell ref="B150:C150"/>
    <mergeCell ref="B151:B152"/>
    <mergeCell ref="B153:C153"/>
    <mergeCell ref="B154:B155"/>
    <mergeCell ref="A351:N351"/>
    <mergeCell ref="A353:A358"/>
    <mergeCell ref="B353:C353"/>
    <mergeCell ref="B354:B355"/>
    <mergeCell ref="B356:C356"/>
    <mergeCell ref="B357:B358"/>
    <mergeCell ref="A279:N279"/>
    <mergeCell ref="A281:A286"/>
    <mergeCell ref="B281:C281"/>
    <mergeCell ref="B282:B283"/>
    <mergeCell ref="B284:C284"/>
    <mergeCell ref="B285:B286"/>
    <mergeCell ref="A287:N287"/>
    <mergeCell ref="A289:A294"/>
    <mergeCell ref="B289:C289"/>
    <mergeCell ref="A239:N239"/>
    <mergeCell ref="A241:A246"/>
    <mergeCell ref="B241:C241"/>
    <mergeCell ref="A156:N156"/>
    <mergeCell ref="A158:A163"/>
    <mergeCell ref="B158:C158"/>
    <mergeCell ref="B159:B160"/>
    <mergeCell ref="B161:C161"/>
    <mergeCell ref="B162:B163"/>
    <mergeCell ref="A359:N359"/>
    <mergeCell ref="A361:A366"/>
    <mergeCell ref="B361:C361"/>
    <mergeCell ref="B362:B363"/>
    <mergeCell ref="B364:C364"/>
    <mergeCell ref="B365:B366"/>
    <mergeCell ref="B290:B291"/>
    <mergeCell ref="B292:C292"/>
    <mergeCell ref="B293:B294"/>
    <mergeCell ref="A295:N295"/>
    <mergeCell ref="A297:A302"/>
    <mergeCell ref="B297:C297"/>
    <mergeCell ref="B298:B299"/>
    <mergeCell ref="B300:C300"/>
    <mergeCell ref="B301:B302"/>
    <mergeCell ref="A271:N271"/>
    <mergeCell ref="A273:A278"/>
    <mergeCell ref="B273:C273"/>
    <mergeCell ref="B518:C518"/>
    <mergeCell ref="B519:B520"/>
    <mergeCell ref="O162:O164"/>
    <mergeCell ref="P162:P164"/>
    <mergeCell ref="A367:N367"/>
    <mergeCell ref="B274:B275"/>
    <mergeCell ref="B276:C276"/>
    <mergeCell ref="B277:B278"/>
    <mergeCell ref="A263:N263"/>
    <mergeCell ref="A265:A270"/>
    <mergeCell ref="B265:C265"/>
    <mergeCell ref="B266:B267"/>
    <mergeCell ref="B268:C268"/>
    <mergeCell ref="B269:B270"/>
    <mergeCell ref="A255:N255"/>
    <mergeCell ref="A257:A262"/>
    <mergeCell ref="B257:C257"/>
    <mergeCell ref="B258:B259"/>
    <mergeCell ref="B260:C260"/>
    <mergeCell ref="B261:B262"/>
    <mergeCell ref="B242:B243"/>
    <mergeCell ref="B244:C244"/>
    <mergeCell ref="B245:B246"/>
    <mergeCell ref="A172:P172"/>
    <mergeCell ref="B566:C566"/>
    <mergeCell ref="B567:B568"/>
    <mergeCell ref="A553:N553"/>
    <mergeCell ref="A555:A560"/>
    <mergeCell ref="B555:C555"/>
    <mergeCell ref="A164:N164"/>
    <mergeCell ref="A166:A171"/>
    <mergeCell ref="B166:C166"/>
    <mergeCell ref="B167:B168"/>
    <mergeCell ref="B169:C169"/>
    <mergeCell ref="B170:B171"/>
    <mergeCell ref="B556:B557"/>
    <mergeCell ref="B558:C558"/>
    <mergeCell ref="B559:B560"/>
    <mergeCell ref="A545:N545"/>
    <mergeCell ref="A547:A552"/>
    <mergeCell ref="B547:C547"/>
    <mergeCell ref="B548:B549"/>
    <mergeCell ref="B550:C550"/>
    <mergeCell ref="B551:B552"/>
    <mergeCell ref="A513:N513"/>
    <mergeCell ref="A515:A520"/>
    <mergeCell ref="B515:C515"/>
    <mergeCell ref="B516:B517"/>
    <mergeCell ref="A180:P180"/>
    <mergeCell ref="A182:A187"/>
    <mergeCell ref="B182:C182"/>
    <mergeCell ref="B183:B184"/>
    <mergeCell ref="B185:C185"/>
    <mergeCell ref="B186:B187"/>
    <mergeCell ref="A369:A374"/>
    <mergeCell ref="B369:C369"/>
    <mergeCell ref="B370:B371"/>
    <mergeCell ref="B372:C372"/>
    <mergeCell ref="B373:B374"/>
    <mergeCell ref="O365:O367"/>
    <mergeCell ref="P365:P367"/>
    <mergeCell ref="A215:N215"/>
    <mergeCell ref="A217:A222"/>
    <mergeCell ref="B338:B339"/>
    <mergeCell ref="B340:C340"/>
    <mergeCell ref="B341:B342"/>
    <mergeCell ref="A327:N327"/>
    <mergeCell ref="A329:A334"/>
    <mergeCell ref="B329:C329"/>
    <mergeCell ref="B330:B331"/>
    <mergeCell ref="B332:C332"/>
    <mergeCell ref="B333:B334"/>
    <mergeCell ref="A188:P188"/>
    <mergeCell ref="A190:A195"/>
    <mergeCell ref="B190:C190"/>
    <mergeCell ref="B191:B192"/>
    <mergeCell ref="B193:C193"/>
    <mergeCell ref="B194:B195"/>
    <mergeCell ref="A585:P585"/>
    <mergeCell ref="A587:A592"/>
    <mergeCell ref="B587:C587"/>
    <mergeCell ref="B588:B589"/>
    <mergeCell ref="B590:C590"/>
    <mergeCell ref="B591:B592"/>
    <mergeCell ref="A569:N569"/>
    <mergeCell ref="A571:A576"/>
    <mergeCell ref="B571:C571"/>
    <mergeCell ref="B572:B573"/>
    <mergeCell ref="B574:C574"/>
    <mergeCell ref="B575:B576"/>
    <mergeCell ref="O567:O569"/>
    <mergeCell ref="P567:P569"/>
    <mergeCell ref="A561:N561"/>
    <mergeCell ref="A563:A568"/>
    <mergeCell ref="B563:C563"/>
    <mergeCell ref="B564:B565"/>
  </mergeCells>
  <phoneticPr fontId="26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01"/>
  <sheetViews>
    <sheetView workbookViewId="0">
      <selection activeCell="D16" sqref="D16"/>
    </sheetView>
  </sheetViews>
  <sheetFormatPr defaultRowHeight="12.75" x14ac:dyDescent="0.2"/>
  <cols>
    <col min="1" max="1" width="35.5703125" style="6" customWidth="1"/>
    <col min="2" max="19" width="6.7109375" style="6" customWidth="1"/>
    <col min="20" max="20" width="8.28515625" style="241" customWidth="1"/>
    <col min="21" max="257" width="9.140625" style="6"/>
    <col min="258" max="258" width="35.5703125" style="6" customWidth="1"/>
    <col min="259" max="272" width="6.7109375" style="6" customWidth="1"/>
    <col min="273" max="513" width="9.140625" style="6"/>
    <col min="514" max="514" width="35.5703125" style="6" customWidth="1"/>
    <col min="515" max="528" width="6.7109375" style="6" customWidth="1"/>
    <col min="529" max="769" width="9.140625" style="6"/>
    <col min="770" max="770" width="35.5703125" style="6" customWidth="1"/>
    <col min="771" max="784" width="6.7109375" style="6" customWidth="1"/>
    <col min="785" max="1025" width="9.140625" style="6"/>
    <col min="1026" max="1026" width="35.5703125" style="6" customWidth="1"/>
    <col min="1027" max="1040" width="6.7109375" style="6" customWidth="1"/>
    <col min="1041" max="1281" width="9.140625" style="6"/>
    <col min="1282" max="1282" width="35.5703125" style="6" customWidth="1"/>
    <col min="1283" max="1296" width="6.7109375" style="6" customWidth="1"/>
    <col min="1297" max="1537" width="9.140625" style="6"/>
    <col min="1538" max="1538" width="35.5703125" style="6" customWidth="1"/>
    <col min="1539" max="1552" width="6.7109375" style="6" customWidth="1"/>
    <col min="1553" max="1793" width="9.140625" style="6"/>
    <col min="1794" max="1794" width="35.5703125" style="6" customWidth="1"/>
    <col min="1795" max="1808" width="6.7109375" style="6" customWidth="1"/>
    <col min="1809" max="2049" width="9.140625" style="6"/>
    <col min="2050" max="2050" width="35.5703125" style="6" customWidth="1"/>
    <col min="2051" max="2064" width="6.7109375" style="6" customWidth="1"/>
    <col min="2065" max="2305" width="9.140625" style="6"/>
    <col min="2306" max="2306" width="35.5703125" style="6" customWidth="1"/>
    <col min="2307" max="2320" width="6.7109375" style="6" customWidth="1"/>
    <col min="2321" max="2561" width="9.140625" style="6"/>
    <col min="2562" max="2562" width="35.5703125" style="6" customWidth="1"/>
    <col min="2563" max="2576" width="6.7109375" style="6" customWidth="1"/>
    <col min="2577" max="2817" width="9.140625" style="6"/>
    <col min="2818" max="2818" width="35.5703125" style="6" customWidth="1"/>
    <col min="2819" max="2832" width="6.7109375" style="6" customWidth="1"/>
    <col min="2833" max="3073" width="9.140625" style="6"/>
    <col min="3074" max="3074" width="35.5703125" style="6" customWidth="1"/>
    <col min="3075" max="3088" width="6.7109375" style="6" customWidth="1"/>
    <col min="3089" max="3329" width="9.140625" style="6"/>
    <col min="3330" max="3330" width="35.5703125" style="6" customWidth="1"/>
    <col min="3331" max="3344" width="6.7109375" style="6" customWidth="1"/>
    <col min="3345" max="3585" width="9.140625" style="6"/>
    <col min="3586" max="3586" width="35.5703125" style="6" customWidth="1"/>
    <col min="3587" max="3600" width="6.7109375" style="6" customWidth="1"/>
    <col min="3601" max="3841" width="9.140625" style="6"/>
    <col min="3842" max="3842" width="35.5703125" style="6" customWidth="1"/>
    <col min="3843" max="3856" width="6.7109375" style="6" customWidth="1"/>
    <col min="3857" max="4097" width="9.140625" style="6"/>
    <col min="4098" max="4098" width="35.5703125" style="6" customWidth="1"/>
    <col min="4099" max="4112" width="6.7109375" style="6" customWidth="1"/>
    <col min="4113" max="4353" width="9.140625" style="6"/>
    <col min="4354" max="4354" width="35.5703125" style="6" customWidth="1"/>
    <col min="4355" max="4368" width="6.7109375" style="6" customWidth="1"/>
    <col min="4369" max="4609" width="9.140625" style="6"/>
    <col min="4610" max="4610" width="35.5703125" style="6" customWidth="1"/>
    <col min="4611" max="4624" width="6.7109375" style="6" customWidth="1"/>
    <col min="4625" max="4865" width="9.140625" style="6"/>
    <col min="4866" max="4866" width="35.5703125" style="6" customWidth="1"/>
    <col min="4867" max="4880" width="6.7109375" style="6" customWidth="1"/>
    <col min="4881" max="5121" width="9.140625" style="6"/>
    <col min="5122" max="5122" width="35.5703125" style="6" customWidth="1"/>
    <col min="5123" max="5136" width="6.7109375" style="6" customWidth="1"/>
    <col min="5137" max="5377" width="9.140625" style="6"/>
    <col min="5378" max="5378" width="35.5703125" style="6" customWidth="1"/>
    <col min="5379" max="5392" width="6.7109375" style="6" customWidth="1"/>
    <col min="5393" max="5633" width="9.140625" style="6"/>
    <col min="5634" max="5634" width="35.5703125" style="6" customWidth="1"/>
    <col min="5635" max="5648" width="6.7109375" style="6" customWidth="1"/>
    <col min="5649" max="5889" width="9.140625" style="6"/>
    <col min="5890" max="5890" width="35.5703125" style="6" customWidth="1"/>
    <col min="5891" max="5904" width="6.7109375" style="6" customWidth="1"/>
    <col min="5905" max="6145" width="9.140625" style="6"/>
    <col min="6146" max="6146" width="35.5703125" style="6" customWidth="1"/>
    <col min="6147" max="6160" width="6.7109375" style="6" customWidth="1"/>
    <col min="6161" max="6401" width="9.140625" style="6"/>
    <col min="6402" max="6402" width="35.5703125" style="6" customWidth="1"/>
    <col min="6403" max="6416" width="6.7109375" style="6" customWidth="1"/>
    <col min="6417" max="6657" width="9.140625" style="6"/>
    <col min="6658" max="6658" width="35.5703125" style="6" customWidth="1"/>
    <col min="6659" max="6672" width="6.7109375" style="6" customWidth="1"/>
    <col min="6673" max="6913" width="9.140625" style="6"/>
    <col min="6914" max="6914" width="35.5703125" style="6" customWidth="1"/>
    <col min="6915" max="6928" width="6.7109375" style="6" customWidth="1"/>
    <col min="6929" max="7169" width="9.140625" style="6"/>
    <col min="7170" max="7170" width="35.5703125" style="6" customWidth="1"/>
    <col min="7171" max="7184" width="6.7109375" style="6" customWidth="1"/>
    <col min="7185" max="7425" width="9.140625" style="6"/>
    <col min="7426" max="7426" width="35.5703125" style="6" customWidth="1"/>
    <col min="7427" max="7440" width="6.7109375" style="6" customWidth="1"/>
    <col min="7441" max="7681" width="9.140625" style="6"/>
    <col min="7682" max="7682" width="35.5703125" style="6" customWidth="1"/>
    <col min="7683" max="7696" width="6.7109375" style="6" customWidth="1"/>
    <col min="7697" max="7937" width="9.140625" style="6"/>
    <col min="7938" max="7938" width="35.5703125" style="6" customWidth="1"/>
    <col min="7939" max="7952" width="6.7109375" style="6" customWidth="1"/>
    <col min="7953" max="8193" width="9.140625" style="6"/>
    <col min="8194" max="8194" width="35.5703125" style="6" customWidth="1"/>
    <col min="8195" max="8208" width="6.7109375" style="6" customWidth="1"/>
    <col min="8209" max="8449" width="9.140625" style="6"/>
    <col min="8450" max="8450" width="35.5703125" style="6" customWidth="1"/>
    <col min="8451" max="8464" width="6.7109375" style="6" customWidth="1"/>
    <col min="8465" max="8705" width="9.140625" style="6"/>
    <col min="8706" max="8706" width="35.5703125" style="6" customWidth="1"/>
    <col min="8707" max="8720" width="6.7109375" style="6" customWidth="1"/>
    <col min="8721" max="8961" width="9.140625" style="6"/>
    <col min="8962" max="8962" width="35.5703125" style="6" customWidth="1"/>
    <col min="8963" max="8976" width="6.7109375" style="6" customWidth="1"/>
    <col min="8977" max="9217" width="9.140625" style="6"/>
    <col min="9218" max="9218" width="35.5703125" style="6" customWidth="1"/>
    <col min="9219" max="9232" width="6.7109375" style="6" customWidth="1"/>
    <col min="9233" max="9473" width="9.140625" style="6"/>
    <col min="9474" max="9474" width="35.5703125" style="6" customWidth="1"/>
    <col min="9475" max="9488" width="6.7109375" style="6" customWidth="1"/>
    <col min="9489" max="9729" width="9.140625" style="6"/>
    <col min="9730" max="9730" width="35.5703125" style="6" customWidth="1"/>
    <col min="9731" max="9744" width="6.7109375" style="6" customWidth="1"/>
    <col min="9745" max="9985" width="9.140625" style="6"/>
    <col min="9986" max="9986" width="35.5703125" style="6" customWidth="1"/>
    <col min="9987" max="10000" width="6.7109375" style="6" customWidth="1"/>
    <col min="10001" max="10241" width="9.140625" style="6"/>
    <col min="10242" max="10242" width="35.5703125" style="6" customWidth="1"/>
    <col min="10243" max="10256" width="6.7109375" style="6" customWidth="1"/>
    <col min="10257" max="10497" width="9.140625" style="6"/>
    <col min="10498" max="10498" width="35.5703125" style="6" customWidth="1"/>
    <col min="10499" max="10512" width="6.7109375" style="6" customWidth="1"/>
    <col min="10513" max="10753" width="9.140625" style="6"/>
    <col min="10754" max="10754" width="35.5703125" style="6" customWidth="1"/>
    <col min="10755" max="10768" width="6.7109375" style="6" customWidth="1"/>
    <col min="10769" max="11009" width="9.140625" style="6"/>
    <col min="11010" max="11010" width="35.5703125" style="6" customWidth="1"/>
    <col min="11011" max="11024" width="6.7109375" style="6" customWidth="1"/>
    <col min="11025" max="11265" width="9.140625" style="6"/>
    <col min="11266" max="11266" width="35.5703125" style="6" customWidth="1"/>
    <col min="11267" max="11280" width="6.7109375" style="6" customWidth="1"/>
    <col min="11281" max="11521" width="9.140625" style="6"/>
    <col min="11522" max="11522" width="35.5703125" style="6" customWidth="1"/>
    <col min="11523" max="11536" width="6.7109375" style="6" customWidth="1"/>
    <col min="11537" max="11777" width="9.140625" style="6"/>
    <col min="11778" max="11778" width="35.5703125" style="6" customWidth="1"/>
    <col min="11779" max="11792" width="6.7109375" style="6" customWidth="1"/>
    <col min="11793" max="12033" width="9.140625" style="6"/>
    <col min="12034" max="12034" width="35.5703125" style="6" customWidth="1"/>
    <col min="12035" max="12048" width="6.7109375" style="6" customWidth="1"/>
    <col min="12049" max="12289" width="9.140625" style="6"/>
    <col min="12290" max="12290" width="35.5703125" style="6" customWidth="1"/>
    <col min="12291" max="12304" width="6.7109375" style="6" customWidth="1"/>
    <col min="12305" max="12545" width="9.140625" style="6"/>
    <col min="12546" max="12546" width="35.5703125" style="6" customWidth="1"/>
    <col min="12547" max="12560" width="6.7109375" style="6" customWidth="1"/>
    <col min="12561" max="12801" width="9.140625" style="6"/>
    <col min="12802" max="12802" width="35.5703125" style="6" customWidth="1"/>
    <col min="12803" max="12816" width="6.7109375" style="6" customWidth="1"/>
    <col min="12817" max="13057" width="9.140625" style="6"/>
    <col min="13058" max="13058" width="35.5703125" style="6" customWidth="1"/>
    <col min="13059" max="13072" width="6.7109375" style="6" customWidth="1"/>
    <col min="13073" max="13313" width="9.140625" style="6"/>
    <col min="13314" max="13314" width="35.5703125" style="6" customWidth="1"/>
    <col min="13315" max="13328" width="6.7109375" style="6" customWidth="1"/>
    <col min="13329" max="13569" width="9.140625" style="6"/>
    <col min="13570" max="13570" width="35.5703125" style="6" customWidth="1"/>
    <col min="13571" max="13584" width="6.7109375" style="6" customWidth="1"/>
    <col min="13585" max="13825" width="9.140625" style="6"/>
    <col min="13826" max="13826" width="35.5703125" style="6" customWidth="1"/>
    <col min="13827" max="13840" width="6.7109375" style="6" customWidth="1"/>
    <col min="13841" max="14081" width="9.140625" style="6"/>
    <col min="14082" max="14082" width="35.5703125" style="6" customWidth="1"/>
    <col min="14083" max="14096" width="6.7109375" style="6" customWidth="1"/>
    <col min="14097" max="14337" width="9.140625" style="6"/>
    <col min="14338" max="14338" width="35.5703125" style="6" customWidth="1"/>
    <col min="14339" max="14352" width="6.7109375" style="6" customWidth="1"/>
    <col min="14353" max="14593" width="9.140625" style="6"/>
    <col min="14594" max="14594" width="35.5703125" style="6" customWidth="1"/>
    <col min="14595" max="14608" width="6.7109375" style="6" customWidth="1"/>
    <col min="14609" max="14849" width="9.140625" style="6"/>
    <col min="14850" max="14850" width="35.5703125" style="6" customWidth="1"/>
    <col min="14851" max="14864" width="6.7109375" style="6" customWidth="1"/>
    <col min="14865" max="15105" width="9.140625" style="6"/>
    <col min="15106" max="15106" width="35.5703125" style="6" customWidth="1"/>
    <col min="15107" max="15120" width="6.7109375" style="6" customWidth="1"/>
    <col min="15121" max="15361" width="9.140625" style="6"/>
    <col min="15362" max="15362" width="35.5703125" style="6" customWidth="1"/>
    <col min="15363" max="15376" width="6.7109375" style="6" customWidth="1"/>
    <col min="15377" max="15617" width="9.140625" style="6"/>
    <col min="15618" max="15618" width="35.5703125" style="6" customWidth="1"/>
    <col min="15619" max="15632" width="6.7109375" style="6" customWidth="1"/>
    <col min="15633" max="15873" width="9.140625" style="6"/>
    <col min="15874" max="15874" width="35.5703125" style="6" customWidth="1"/>
    <col min="15875" max="15888" width="6.7109375" style="6" customWidth="1"/>
    <col min="15889" max="16129" width="9.140625" style="6"/>
    <col min="16130" max="16130" width="35.5703125" style="6" customWidth="1"/>
    <col min="16131" max="16144" width="6.7109375" style="6" customWidth="1"/>
    <col min="16145" max="16384" width="9.140625" style="6"/>
  </cols>
  <sheetData>
    <row r="1" spans="1:20" s="239" customFormat="1" ht="18" customHeight="1" x14ac:dyDescent="0.25">
      <c r="A1" s="238" t="s">
        <v>562</v>
      </c>
      <c r="T1" s="240"/>
    </row>
    <row r="2" spans="1:20" ht="14.25" customHeight="1" thickBot="1" x14ac:dyDescent="0.25">
      <c r="A2" s="9" t="s">
        <v>587</v>
      </c>
    </row>
    <row r="3" spans="1:20" ht="14.25" thickTop="1" thickBot="1" x14ac:dyDescent="0.25">
      <c r="A3" s="135" t="s">
        <v>70</v>
      </c>
      <c r="B3" s="242" t="s">
        <v>25</v>
      </c>
      <c r="C3" s="242" t="s">
        <v>5</v>
      </c>
      <c r="D3" s="242" t="s">
        <v>6</v>
      </c>
      <c r="E3" s="242" t="s">
        <v>7</v>
      </c>
      <c r="F3" s="243" t="s">
        <v>8</v>
      </c>
      <c r="G3" s="243" t="s">
        <v>9</v>
      </c>
      <c r="H3" s="242" t="s">
        <v>10</v>
      </c>
      <c r="I3" s="242" t="s">
        <v>11</v>
      </c>
      <c r="J3" s="244" t="s">
        <v>12</v>
      </c>
      <c r="K3" s="245" t="s">
        <v>13</v>
      </c>
      <c r="L3" s="245" t="s">
        <v>14</v>
      </c>
      <c r="M3" s="245" t="s">
        <v>15</v>
      </c>
      <c r="N3" s="245" t="s">
        <v>16</v>
      </c>
      <c r="O3" s="245" t="s">
        <v>17</v>
      </c>
      <c r="P3" s="245" t="s">
        <v>35</v>
      </c>
      <c r="Q3" s="245" t="s">
        <v>542</v>
      </c>
      <c r="R3" s="245" t="s">
        <v>544</v>
      </c>
      <c r="S3" s="245" t="s">
        <v>551</v>
      </c>
      <c r="T3" s="246" t="s">
        <v>561</v>
      </c>
    </row>
    <row r="4" spans="1:20" ht="14.25" thickTop="1" thickBot="1" x14ac:dyDescent="0.25">
      <c r="A4" s="248" t="s">
        <v>37</v>
      </c>
      <c r="B4" s="249"/>
      <c r="C4" s="249"/>
      <c r="D4" s="249"/>
      <c r="E4" s="249"/>
      <c r="F4" s="249"/>
      <c r="G4" s="249"/>
      <c r="H4" s="249"/>
      <c r="I4" s="249"/>
      <c r="J4" s="250"/>
      <c r="K4" s="249"/>
      <c r="L4" s="249"/>
      <c r="M4" s="249"/>
      <c r="N4" s="249"/>
      <c r="O4" s="249"/>
      <c r="P4" s="249"/>
      <c r="Q4" s="249"/>
      <c r="R4" s="249"/>
      <c r="S4" s="249"/>
      <c r="T4" s="251"/>
    </row>
    <row r="5" spans="1:20" x14ac:dyDescent="0.2">
      <c r="A5" s="253" t="s">
        <v>71</v>
      </c>
      <c r="B5" s="254">
        <v>18612</v>
      </c>
      <c r="C5" s="254">
        <v>13956</v>
      </c>
      <c r="D5" s="254">
        <v>21779</v>
      </c>
      <c r="E5" s="254">
        <v>18108</v>
      </c>
      <c r="F5" s="255">
        <v>20541</v>
      </c>
      <c r="G5" s="255">
        <v>20830</v>
      </c>
      <c r="H5" s="254">
        <v>20076</v>
      </c>
      <c r="I5" s="254">
        <v>20599</v>
      </c>
      <c r="J5" s="256">
        <v>21267</v>
      </c>
      <c r="K5" s="257">
        <v>21298</v>
      </c>
      <c r="L5" s="258">
        <v>21688</v>
      </c>
      <c r="M5" s="258">
        <v>23372</v>
      </c>
      <c r="N5" s="258">
        <v>22877</v>
      </c>
      <c r="O5" s="258">
        <v>21918</v>
      </c>
      <c r="P5" s="258">
        <v>21986</v>
      </c>
      <c r="Q5" s="258">
        <v>20557</v>
      </c>
      <c r="R5" s="258">
        <v>18486</v>
      </c>
      <c r="S5" s="258">
        <v>17557</v>
      </c>
      <c r="T5" s="259">
        <v>17230</v>
      </c>
    </row>
    <row r="6" spans="1:20" x14ac:dyDescent="0.2">
      <c r="A6" s="260" t="s">
        <v>73</v>
      </c>
      <c r="B6" s="261">
        <v>42653</v>
      </c>
      <c r="C6" s="261">
        <v>28740</v>
      </c>
      <c r="D6" s="261">
        <v>42957</v>
      </c>
      <c r="E6" s="261">
        <v>44176</v>
      </c>
      <c r="F6" s="262">
        <v>48571</v>
      </c>
      <c r="G6" s="262">
        <v>49507</v>
      </c>
      <c r="H6" s="261">
        <v>48314</v>
      </c>
      <c r="I6" s="261">
        <v>48542</v>
      </c>
      <c r="J6" s="263">
        <v>48638</v>
      </c>
      <c r="K6" s="264">
        <v>47840</v>
      </c>
      <c r="L6" s="265">
        <v>47089</v>
      </c>
      <c r="M6" s="265">
        <v>48717</v>
      </c>
      <c r="N6" s="265">
        <v>48369</v>
      </c>
      <c r="O6" s="265">
        <v>46979</v>
      </c>
      <c r="P6" s="265">
        <v>45503</v>
      </c>
      <c r="Q6" s="265">
        <v>39428</v>
      </c>
      <c r="R6" s="265">
        <v>36042</v>
      </c>
      <c r="S6" s="265">
        <v>33214</v>
      </c>
      <c r="T6" s="266">
        <v>31676</v>
      </c>
    </row>
    <row r="7" spans="1:20" x14ac:dyDescent="0.2">
      <c r="A7" s="260" t="s">
        <v>74</v>
      </c>
      <c r="B7" s="261">
        <v>6326</v>
      </c>
      <c r="C7" s="261">
        <v>4766</v>
      </c>
      <c r="D7" s="261">
        <v>5847</v>
      </c>
      <c r="E7" s="261">
        <v>7061</v>
      </c>
      <c r="F7" s="262">
        <v>7516</v>
      </c>
      <c r="G7" s="262">
        <v>8241</v>
      </c>
      <c r="H7" s="261">
        <v>8792</v>
      </c>
      <c r="I7" s="261">
        <v>8980</v>
      </c>
      <c r="J7" s="263">
        <v>9173</v>
      </c>
      <c r="K7" s="264">
        <v>9298</v>
      </c>
      <c r="L7" s="265">
        <v>10078</v>
      </c>
      <c r="M7" s="265">
        <v>10938</v>
      </c>
      <c r="N7" s="265">
        <v>10850</v>
      </c>
      <c r="O7" s="265">
        <v>11598</v>
      </c>
      <c r="P7" s="265">
        <v>10904</v>
      </c>
      <c r="Q7" s="265">
        <v>10187</v>
      </c>
      <c r="R7" s="265">
        <v>9797</v>
      </c>
      <c r="S7" s="265">
        <v>8855</v>
      </c>
      <c r="T7" s="266">
        <v>8985</v>
      </c>
    </row>
    <row r="8" spans="1:20" x14ac:dyDescent="0.2">
      <c r="A8" s="260" t="s">
        <v>75</v>
      </c>
      <c r="B8" s="261">
        <v>13414</v>
      </c>
      <c r="C8" s="261">
        <v>12829</v>
      </c>
      <c r="D8" s="261">
        <v>17148</v>
      </c>
      <c r="E8" s="261">
        <v>16672</v>
      </c>
      <c r="F8" s="262">
        <v>19811</v>
      </c>
      <c r="G8" s="262">
        <v>23594</v>
      </c>
      <c r="H8" s="261">
        <v>25580</v>
      </c>
      <c r="I8" s="261">
        <v>27543</v>
      </c>
      <c r="J8" s="263">
        <v>26681</v>
      </c>
      <c r="K8" s="264">
        <v>26832</v>
      </c>
      <c r="L8" s="265">
        <v>28389</v>
      </c>
      <c r="M8" s="265">
        <v>31250</v>
      </c>
      <c r="N8" s="265">
        <v>32520</v>
      </c>
      <c r="O8" s="265">
        <v>34042</v>
      </c>
      <c r="P8" s="265">
        <v>34466</v>
      </c>
      <c r="Q8" s="265">
        <v>33876</v>
      </c>
      <c r="R8" s="265">
        <v>34556</v>
      </c>
      <c r="S8" s="265">
        <v>34114</v>
      </c>
      <c r="T8" s="266">
        <v>33549</v>
      </c>
    </row>
    <row r="9" spans="1:20" x14ac:dyDescent="0.2">
      <c r="A9" s="260" t="s">
        <v>76</v>
      </c>
      <c r="B9" s="261">
        <v>36843</v>
      </c>
      <c r="C9" s="261">
        <v>40517</v>
      </c>
      <c r="D9" s="261">
        <v>39000</v>
      </c>
      <c r="E9" s="261">
        <v>41252</v>
      </c>
      <c r="F9" s="262">
        <v>45128</v>
      </c>
      <c r="G9" s="262">
        <v>52489</v>
      </c>
      <c r="H9" s="261">
        <v>56709</v>
      </c>
      <c r="I9" s="261">
        <v>60104</v>
      </c>
      <c r="J9" s="263">
        <v>68318</v>
      </c>
      <c r="K9" s="264">
        <v>71395</v>
      </c>
      <c r="L9" s="265">
        <v>72967</v>
      </c>
      <c r="M9" s="265">
        <v>71223</v>
      </c>
      <c r="N9" s="265">
        <v>67194</v>
      </c>
      <c r="O9" s="265">
        <v>61775</v>
      </c>
      <c r="P9" s="265">
        <v>58504</v>
      </c>
      <c r="Q9" s="265">
        <v>49849</v>
      </c>
      <c r="R9" s="265">
        <v>47433</v>
      </c>
      <c r="S9" s="265">
        <v>44557</v>
      </c>
      <c r="T9" s="266">
        <v>41557</v>
      </c>
    </row>
    <row r="10" spans="1:20" x14ac:dyDescent="0.2">
      <c r="A10" s="260" t="s">
        <v>77</v>
      </c>
      <c r="B10" s="261">
        <v>46799</v>
      </c>
      <c r="C10" s="261">
        <v>39372</v>
      </c>
      <c r="D10" s="261">
        <v>46717</v>
      </c>
      <c r="E10" s="261">
        <v>43047</v>
      </c>
      <c r="F10" s="262">
        <v>46695</v>
      </c>
      <c r="G10" s="262">
        <v>54081</v>
      </c>
      <c r="H10" s="261">
        <v>61051</v>
      </c>
      <c r="I10" s="261">
        <v>66010</v>
      </c>
      <c r="J10" s="263">
        <v>71046</v>
      </c>
      <c r="K10" s="264">
        <v>72351</v>
      </c>
      <c r="L10" s="265">
        <v>72968</v>
      </c>
      <c r="M10" s="265">
        <v>71570</v>
      </c>
      <c r="N10" s="265">
        <v>70460</v>
      </c>
      <c r="O10" s="265">
        <v>63160</v>
      </c>
      <c r="P10" s="265">
        <v>55202</v>
      </c>
      <c r="Q10" s="265">
        <v>44675</v>
      </c>
      <c r="R10" s="265">
        <v>41045</v>
      </c>
      <c r="S10" s="265">
        <v>35080</v>
      </c>
      <c r="T10" s="266">
        <v>32001</v>
      </c>
    </row>
    <row r="11" spans="1:20" x14ac:dyDescent="0.2">
      <c r="A11" s="260" t="s">
        <v>78</v>
      </c>
      <c r="B11" s="261">
        <v>15852</v>
      </c>
      <c r="C11" s="261">
        <v>18074</v>
      </c>
      <c r="D11" s="261">
        <v>16137</v>
      </c>
      <c r="E11" s="261">
        <v>15741</v>
      </c>
      <c r="F11" s="262">
        <v>17480</v>
      </c>
      <c r="G11" s="262">
        <v>20757</v>
      </c>
      <c r="H11" s="261">
        <v>21048</v>
      </c>
      <c r="I11" s="261">
        <v>19393</v>
      </c>
      <c r="J11" s="263">
        <v>20502</v>
      </c>
      <c r="K11" s="264">
        <v>19195</v>
      </c>
      <c r="L11" s="265">
        <v>19139</v>
      </c>
      <c r="M11" s="265">
        <v>17701</v>
      </c>
      <c r="N11" s="265">
        <v>16576</v>
      </c>
      <c r="O11" s="265">
        <v>13360</v>
      </c>
      <c r="P11" s="265">
        <v>12995</v>
      </c>
      <c r="Q11" s="265">
        <v>12299</v>
      </c>
      <c r="R11" s="265">
        <v>12355</v>
      </c>
      <c r="S11" s="265">
        <v>11589</v>
      </c>
      <c r="T11" s="266">
        <v>10581</v>
      </c>
    </row>
    <row r="12" spans="1:20" x14ac:dyDescent="0.2">
      <c r="A12" s="260" t="s">
        <v>79</v>
      </c>
      <c r="B12" s="261">
        <v>44593</v>
      </c>
      <c r="C12" s="261">
        <v>42516</v>
      </c>
      <c r="D12" s="261">
        <v>40529</v>
      </c>
      <c r="E12" s="261">
        <v>41261</v>
      </c>
      <c r="F12" s="262">
        <v>39794</v>
      </c>
      <c r="G12" s="262">
        <v>46965</v>
      </c>
      <c r="H12" s="261">
        <v>44139</v>
      </c>
      <c r="I12" s="261">
        <v>42817</v>
      </c>
      <c r="J12" s="263">
        <v>48392</v>
      </c>
      <c r="K12" s="264">
        <v>42356</v>
      </c>
      <c r="L12" s="265">
        <v>42227</v>
      </c>
      <c r="M12" s="265">
        <v>46358</v>
      </c>
      <c r="N12" s="265">
        <v>50797</v>
      </c>
      <c r="O12" s="265">
        <v>46773</v>
      </c>
      <c r="P12" s="265">
        <v>42469</v>
      </c>
      <c r="Q12" s="265">
        <v>41180</v>
      </c>
      <c r="R12" s="265">
        <v>35919</v>
      </c>
      <c r="S12" s="265">
        <v>31849</v>
      </c>
      <c r="T12" s="266">
        <v>30264</v>
      </c>
    </row>
    <row r="13" spans="1:20" x14ac:dyDescent="0.2">
      <c r="A13" s="260" t="s">
        <v>80</v>
      </c>
      <c r="B13" s="261">
        <v>8727</v>
      </c>
      <c r="C13" s="261">
        <v>7403</v>
      </c>
      <c r="D13" s="261">
        <v>7338</v>
      </c>
      <c r="E13" s="261">
        <v>6708</v>
      </c>
      <c r="F13" s="262">
        <v>7737</v>
      </c>
      <c r="G13" s="262">
        <v>8513</v>
      </c>
      <c r="H13" s="261">
        <v>9049</v>
      </c>
      <c r="I13" s="261">
        <v>9346</v>
      </c>
      <c r="J13" s="263">
        <v>9687</v>
      </c>
      <c r="K13" s="264">
        <v>9800</v>
      </c>
      <c r="L13" s="265">
        <v>10448</v>
      </c>
      <c r="M13" s="265">
        <v>10407</v>
      </c>
      <c r="N13" s="265">
        <v>10423</v>
      </c>
      <c r="O13" s="265">
        <v>9847</v>
      </c>
      <c r="P13" s="265">
        <v>8924</v>
      </c>
      <c r="Q13" s="265">
        <v>8416</v>
      </c>
      <c r="R13" s="265">
        <v>8085</v>
      </c>
      <c r="S13" s="265">
        <v>7336</v>
      </c>
      <c r="T13" s="266">
        <v>7474</v>
      </c>
    </row>
    <row r="14" spans="1:20" x14ac:dyDescent="0.2">
      <c r="A14" s="267" t="s">
        <v>81</v>
      </c>
      <c r="B14" s="268">
        <v>0</v>
      </c>
      <c r="C14" s="268">
        <v>0</v>
      </c>
      <c r="D14" s="268">
        <v>0</v>
      </c>
      <c r="E14" s="268">
        <v>0</v>
      </c>
      <c r="F14" s="269">
        <v>0</v>
      </c>
      <c r="G14" s="269">
        <v>0</v>
      </c>
      <c r="H14" s="268">
        <v>0</v>
      </c>
      <c r="I14" s="268">
        <v>0</v>
      </c>
      <c r="J14" s="270">
        <v>0</v>
      </c>
      <c r="K14" s="271">
        <v>0</v>
      </c>
      <c r="L14" s="269">
        <v>0</v>
      </c>
      <c r="M14" s="269">
        <v>0</v>
      </c>
      <c r="N14" s="269">
        <v>0</v>
      </c>
      <c r="O14" s="269">
        <v>0</v>
      </c>
      <c r="P14" s="269">
        <v>0</v>
      </c>
      <c r="Q14" s="269">
        <v>0</v>
      </c>
      <c r="R14" s="269">
        <v>0</v>
      </c>
      <c r="S14" s="269">
        <v>0</v>
      </c>
      <c r="T14" s="272"/>
    </row>
    <row r="15" spans="1:20" ht="13.5" thickBot="1" x14ac:dyDescent="0.25">
      <c r="A15" s="273" t="s">
        <v>48</v>
      </c>
      <c r="B15" s="274">
        <v>233819</v>
      </c>
      <c r="C15" s="274">
        <v>208173</v>
      </c>
      <c r="D15" s="274">
        <v>237452</v>
      </c>
      <c r="E15" s="274">
        <v>234026</v>
      </c>
      <c r="F15" s="275">
        <f>SUM(F5:F14)</f>
        <v>253273</v>
      </c>
      <c r="G15" s="275">
        <v>284977</v>
      </c>
      <c r="H15" s="274">
        <v>294758</v>
      </c>
      <c r="I15" s="274">
        <v>303334</v>
      </c>
      <c r="J15" s="276">
        <v>323704</v>
      </c>
      <c r="K15" s="277">
        <v>320365</v>
      </c>
      <c r="L15" s="278">
        <v>324993</v>
      </c>
      <c r="M15" s="278">
        <v>331536</v>
      </c>
      <c r="N15" s="278">
        <v>330066</v>
      </c>
      <c r="O15" s="278">
        <f>+'vš_druh studia '!D93</f>
        <v>309452</v>
      </c>
      <c r="P15" s="278">
        <f>+'vš_druh studia '!D101</f>
        <v>290953</v>
      </c>
      <c r="Q15" s="278">
        <f>+'vš_druh studia '!D109</f>
        <v>260467</v>
      </c>
      <c r="R15" s="278">
        <f>+'vš_druh studia '!D117</f>
        <v>243718</v>
      </c>
      <c r="S15" s="278">
        <f>+'vš_druh studia '!D125</f>
        <v>224151</v>
      </c>
      <c r="T15" s="279">
        <f>+'vš_druh studia '!D133</f>
        <v>213317</v>
      </c>
    </row>
    <row r="16" spans="1:20" ht="13.5" thickBot="1" x14ac:dyDescent="0.25">
      <c r="A16" s="280" t="s">
        <v>82</v>
      </c>
      <c r="B16" s="281"/>
      <c r="C16" s="281"/>
      <c r="D16" s="281"/>
      <c r="E16" s="281"/>
      <c r="F16" s="281"/>
      <c r="G16" s="281"/>
      <c r="H16" s="281"/>
      <c r="I16" s="281"/>
      <c r="J16" s="282"/>
      <c r="K16" s="281"/>
      <c r="L16" s="283"/>
      <c r="M16" s="283"/>
      <c r="N16" s="283"/>
      <c r="O16" s="283"/>
      <c r="P16" s="283"/>
      <c r="Q16" s="283"/>
      <c r="R16" s="283"/>
      <c r="S16" s="283"/>
      <c r="T16" s="284"/>
    </row>
    <row r="17" spans="1:20" x14ac:dyDescent="0.2">
      <c r="A17" s="253" t="s">
        <v>71</v>
      </c>
      <c r="B17" s="254">
        <v>13854</v>
      </c>
      <c r="C17" s="254">
        <v>10285</v>
      </c>
      <c r="D17" s="254">
        <v>13563</v>
      </c>
      <c r="E17" s="254">
        <v>12707</v>
      </c>
      <c r="F17" s="255">
        <v>14504</v>
      </c>
      <c r="G17" s="255">
        <v>14865</v>
      </c>
      <c r="H17" s="254">
        <v>14493</v>
      </c>
      <c r="I17" s="254">
        <v>14810</v>
      </c>
      <c r="J17" s="256">
        <v>15253</v>
      </c>
      <c r="K17" s="257">
        <v>15644</v>
      </c>
      <c r="L17" s="258">
        <v>15847</v>
      </c>
      <c r="M17" s="258">
        <v>17234</v>
      </c>
      <c r="N17" s="258">
        <v>16793</v>
      </c>
      <c r="O17" s="258">
        <v>16215</v>
      </c>
      <c r="P17" s="258">
        <v>16141</v>
      </c>
      <c r="Q17" s="258">
        <v>15065</v>
      </c>
      <c r="R17" s="258">
        <v>13384</v>
      </c>
      <c r="S17" s="258">
        <v>12607</v>
      </c>
      <c r="T17" s="259">
        <v>12465</v>
      </c>
    </row>
    <row r="18" spans="1:20" x14ac:dyDescent="0.2">
      <c r="A18" s="260" t="s">
        <v>73</v>
      </c>
      <c r="B18" s="261">
        <v>27370</v>
      </c>
      <c r="C18" s="261">
        <v>20646</v>
      </c>
      <c r="D18" s="261">
        <v>26932</v>
      </c>
      <c r="E18" s="261">
        <v>28062</v>
      </c>
      <c r="F18" s="262">
        <v>32507</v>
      </c>
      <c r="G18" s="262">
        <v>32713</v>
      </c>
      <c r="H18" s="261">
        <v>32430</v>
      </c>
      <c r="I18" s="261">
        <v>33527</v>
      </c>
      <c r="J18" s="263">
        <v>34332</v>
      </c>
      <c r="K18" s="264">
        <v>35072</v>
      </c>
      <c r="L18" s="265">
        <v>34285</v>
      </c>
      <c r="M18" s="265">
        <v>35789</v>
      </c>
      <c r="N18" s="265">
        <v>35603</v>
      </c>
      <c r="O18" s="265">
        <v>34571</v>
      </c>
      <c r="P18" s="265">
        <v>33567</v>
      </c>
      <c r="Q18" s="265">
        <v>29614</v>
      </c>
      <c r="R18" s="265">
        <v>26805</v>
      </c>
      <c r="S18" s="265">
        <v>24371</v>
      </c>
      <c r="T18" s="266">
        <v>23708</v>
      </c>
    </row>
    <row r="19" spans="1:20" x14ac:dyDescent="0.2">
      <c r="A19" s="260" t="s">
        <v>74</v>
      </c>
      <c r="B19" s="261">
        <v>4967</v>
      </c>
      <c r="C19" s="261">
        <v>3941</v>
      </c>
      <c r="D19" s="261">
        <v>4459</v>
      </c>
      <c r="E19" s="261">
        <v>5498</v>
      </c>
      <c r="F19" s="262">
        <v>5800</v>
      </c>
      <c r="G19" s="262">
        <v>6242</v>
      </c>
      <c r="H19" s="261">
        <v>6431</v>
      </c>
      <c r="I19" s="261">
        <v>6620</v>
      </c>
      <c r="J19" s="263">
        <v>6629</v>
      </c>
      <c r="K19" s="264">
        <v>6875</v>
      </c>
      <c r="L19" s="265">
        <v>7575</v>
      </c>
      <c r="M19" s="265">
        <v>8034</v>
      </c>
      <c r="N19" s="265">
        <v>7756</v>
      </c>
      <c r="O19" s="265">
        <v>8753</v>
      </c>
      <c r="P19" s="265">
        <v>8211</v>
      </c>
      <c r="Q19" s="265">
        <v>7616</v>
      </c>
      <c r="R19" s="265">
        <v>7279</v>
      </c>
      <c r="S19" s="265">
        <v>6607</v>
      </c>
      <c r="T19" s="266">
        <v>6685</v>
      </c>
    </row>
    <row r="20" spans="1:20" x14ac:dyDescent="0.2">
      <c r="A20" s="260" t="s">
        <v>75</v>
      </c>
      <c r="B20" s="261">
        <v>7023</v>
      </c>
      <c r="C20" s="261">
        <v>7226</v>
      </c>
      <c r="D20" s="261">
        <v>8729</v>
      </c>
      <c r="E20" s="261">
        <v>8790</v>
      </c>
      <c r="F20" s="262">
        <v>10293</v>
      </c>
      <c r="G20" s="262">
        <v>12260</v>
      </c>
      <c r="H20" s="261">
        <v>12677</v>
      </c>
      <c r="I20" s="261">
        <v>12994</v>
      </c>
      <c r="J20" s="263">
        <v>12605</v>
      </c>
      <c r="K20" s="264">
        <v>12020</v>
      </c>
      <c r="L20" s="265">
        <v>12884</v>
      </c>
      <c r="M20" s="265">
        <v>14157</v>
      </c>
      <c r="N20" s="265">
        <v>14615</v>
      </c>
      <c r="O20" s="265">
        <v>15277</v>
      </c>
      <c r="P20" s="265">
        <v>15871</v>
      </c>
      <c r="Q20" s="265">
        <v>15098</v>
      </c>
      <c r="R20" s="265">
        <v>15088</v>
      </c>
      <c r="S20" s="265">
        <v>14555</v>
      </c>
      <c r="T20" s="266">
        <v>13833</v>
      </c>
    </row>
    <row r="21" spans="1:20" x14ac:dyDescent="0.2">
      <c r="A21" s="260" t="s">
        <v>76</v>
      </c>
      <c r="B21" s="261">
        <v>25823</v>
      </c>
      <c r="C21" s="261">
        <v>28757</v>
      </c>
      <c r="D21" s="261">
        <v>25490</v>
      </c>
      <c r="E21" s="261">
        <v>26756</v>
      </c>
      <c r="F21" s="262">
        <v>28731</v>
      </c>
      <c r="G21" s="262">
        <v>32759</v>
      </c>
      <c r="H21" s="261">
        <v>34620</v>
      </c>
      <c r="I21" s="261">
        <v>36321</v>
      </c>
      <c r="J21" s="263">
        <v>40058</v>
      </c>
      <c r="K21" s="264">
        <v>40544</v>
      </c>
      <c r="L21" s="265">
        <v>40822</v>
      </c>
      <c r="M21" s="265">
        <v>40725</v>
      </c>
      <c r="N21" s="265">
        <v>39595</v>
      </c>
      <c r="O21" s="265">
        <v>36891</v>
      </c>
      <c r="P21" s="265">
        <v>35371</v>
      </c>
      <c r="Q21" s="265">
        <v>30341</v>
      </c>
      <c r="R21" s="265">
        <v>28628</v>
      </c>
      <c r="S21" s="265">
        <v>26683</v>
      </c>
      <c r="T21" s="266">
        <v>25014</v>
      </c>
    </row>
    <row r="22" spans="1:20" x14ac:dyDescent="0.2">
      <c r="A22" s="260" t="s">
        <v>77</v>
      </c>
      <c r="B22" s="261">
        <v>26475</v>
      </c>
      <c r="C22" s="261">
        <v>24343</v>
      </c>
      <c r="D22" s="261">
        <v>26816</v>
      </c>
      <c r="E22" s="261">
        <v>25828</v>
      </c>
      <c r="F22" s="262">
        <v>27393</v>
      </c>
      <c r="G22" s="262">
        <v>31241</v>
      </c>
      <c r="H22" s="261">
        <v>33801</v>
      </c>
      <c r="I22" s="261">
        <v>37061</v>
      </c>
      <c r="J22" s="263">
        <v>39903</v>
      </c>
      <c r="K22" s="264">
        <v>42037</v>
      </c>
      <c r="L22" s="265">
        <v>42928</v>
      </c>
      <c r="M22" s="265">
        <v>43140</v>
      </c>
      <c r="N22" s="265">
        <v>41806</v>
      </c>
      <c r="O22" s="265">
        <v>37791</v>
      </c>
      <c r="P22" s="265">
        <v>33767</v>
      </c>
      <c r="Q22" s="265">
        <v>28341</v>
      </c>
      <c r="R22" s="265">
        <v>26394</v>
      </c>
      <c r="S22" s="265">
        <v>22652</v>
      </c>
      <c r="T22" s="266">
        <v>21170</v>
      </c>
    </row>
    <row r="23" spans="1:20" x14ac:dyDescent="0.2">
      <c r="A23" s="260" t="s">
        <v>78</v>
      </c>
      <c r="B23" s="261">
        <v>9886</v>
      </c>
      <c r="C23" s="261">
        <v>11910</v>
      </c>
      <c r="D23" s="261">
        <v>9905</v>
      </c>
      <c r="E23" s="261">
        <v>9853</v>
      </c>
      <c r="F23" s="262">
        <v>11070</v>
      </c>
      <c r="G23" s="262">
        <v>13834</v>
      </c>
      <c r="H23" s="261">
        <v>13518</v>
      </c>
      <c r="I23" s="261">
        <v>12251</v>
      </c>
      <c r="J23" s="263">
        <v>13096</v>
      </c>
      <c r="K23" s="264">
        <v>12350</v>
      </c>
      <c r="L23" s="265">
        <v>12104</v>
      </c>
      <c r="M23" s="265">
        <v>11276</v>
      </c>
      <c r="N23" s="265">
        <v>10715</v>
      </c>
      <c r="O23" s="265">
        <v>9243</v>
      </c>
      <c r="P23" s="265">
        <v>8940</v>
      </c>
      <c r="Q23" s="265">
        <v>8363</v>
      </c>
      <c r="R23" s="265">
        <v>8380</v>
      </c>
      <c r="S23" s="265">
        <v>7811</v>
      </c>
      <c r="T23" s="266">
        <v>6994</v>
      </c>
    </row>
    <row r="24" spans="1:20" x14ac:dyDescent="0.2">
      <c r="A24" s="260" t="s">
        <v>79</v>
      </c>
      <c r="B24" s="261">
        <v>30301</v>
      </c>
      <c r="C24" s="261">
        <v>29511</v>
      </c>
      <c r="D24" s="261">
        <v>26385</v>
      </c>
      <c r="E24" s="261">
        <v>27163</v>
      </c>
      <c r="F24" s="262">
        <v>27439</v>
      </c>
      <c r="G24" s="262">
        <v>32546</v>
      </c>
      <c r="H24" s="261">
        <v>30544</v>
      </c>
      <c r="I24" s="261">
        <v>30134</v>
      </c>
      <c r="J24" s="263">
        <v>33672</v>
      </c>
      <c r="K24" s="264">
        <v>29432</v>
      </c>
      <c r="L24" s="265">
        <v>29182</v>
      </c>
      <c r="M24" s="265">
        <v>31356</v>
      </c>
      <c r="N24" s="265">
        <v>33903</v>
      </c>
      <c r="O24" s="265">
        <v>30910</v>
      </c>
      <c r="P24" s="265">
        <v>28217</v>
      </c>
      <c r="Q24" s="265">
        <v>26646</v>
      </c>
      <c r="R24" s="265">
        <v>22643</v>
      </c>
      <c r="S24" s="265">
        <v>19949</v>
      </c>
      <c r="T24" s="266">
        <v>18893</v>
      </c>
    </row>
    <row r="25" spans="1:20" x14ac:dyDescent="0.2">
      <c r="A25" s="260" t="s">
        <v>80</v>
      </c>
      <c r="B25" s="261">
        <v>6577</v>
      </c>
      <c r="C25" s="261">
        <v>5862</v>
      </c>
      <c r="D25" s="261">
        <v>5408</v>
      </c>
      <c r="E25" s="261">
        <v>4974</v>
      </c>
      <c r="F25" s="262">
        <v>5583</v>
      </c>
      <c r="G25" s="262">
        <v>6065</v>
      </c>
      <c r="H25" s="261">
        <v>6196</v>
      </c>
      <c r="I25" s="261">
        <v>6473</v>
      </c>
      <c r="J25" s="263">
        <v>6783</v>
      </c>
      <c r="K25" s="264">
        <v>6684</v>
      </c>
      <c r="L25" s="265">
        <v>7001</v>
      </c>
      <c r="M25" s="265">
        <v>7105</v>
      </c>
      <c r="N25" s="265">
        <v>6996</v>
      </c>
      <c r="O25" s="265">
        <v>6605</v>
      </c>
      <c r="P25" s="265">
        <v>5982</v>
      </c>
      <c r="Q25" s="265">
        <v>5661</v>
      </c>
      <c r="R25" s="265">
        <v>5478</v>
      </c>
      <c r="S25" s="265">
        <v>4979</v>
      </c>
      <c r="T25" s="266">
        <v>5114</v>
      </c>
    </row>
    <row r="26" spans="1:20" x14ac:dyDescent="0.2">
      <c r="A26" s="267" t="s">
        <v>81</v>
      </c>
      <c r="B26" s="268">
        <v>0</v>
      </c>
      <c r="C26" s="268">
        <v>0</v>
      </c>
      <c r="D26" s="268">
        <v>0</v>
      </c>
      <c r="E26" s="268">
        <v>0</v>
      </c>
      <c r="F26" s="269">
        <v>0</v>
      </c>
      <c r="G26" s="269">
        <v>0</v>
      </c>
      <c r="H26" s="268">
        <v>0</v>
      </c>
      <c r="I26" s="268">
        <v>0</v>
      </c>
      <c r="J26" s="270">
        <v>0</v>
      </c>
      <c r="K26" s="271">
        <v>0</v>
      </c>
      <c r="L26" s="269">
        <v>0</v>
      </c>
      <c r="M26" s="269">
        <v>0</v>
      </c>
      <c r="N26" s="269">
        <v>0</v>
      </c>
      <c r="O26" s="269">
        <v>0</v>
      </c>
      <c r="P26" s="269">
        <v>0</v>
      </c>
      <c r="Q26" s="269">
        <v>0</v>
      </c>
      <c r="R26" s="269">
        <v>0</v>
      </c>
      <c r="S26" s="269">
        <v>0</v>
      </c>
      <c r="T26" s="272"/>
    </row>
    <row r="27" spans="1:20" ht="13.5" thickBot="1" x14ac:dyDescent="0.25">
      <c r="A27" s="273" t="s">
        <v>48</v>
      </c>
      <c r="B27" s="274">
        <v>105439</v>
      </c>
      <c r="C27" s="274">
        <v>103485</v>
      </c>
      <c r="D27" s="274">
        <v>104097</v>
      </c>
      <c r="E27" s="274">
        <v>108385</v>
      </c>
      <c r="F27" s="275">
        <v>117531</v>
      </c>
      <c r="G27" s="275">
        <v>130132</v>
      </c>
      <c r="H27" s="274">
        <v>132703</v>
      </c>
      <c r="I27" s="274">
        <v>137833</v>
      </c>
      <c r="J27" s="276">
        <v>146795</v>
      </c>
      <c r="K27" s="274">
        <v>147271</v>
      </c>
      <c r="L27" s="285">
        <v>146620</v>
      </c>
      <c r="M27" s="285">
        <v>150588</v>
      </c>
      <c r="N27" s="285">
        <v>149613</v>
      </c>
      <c r="O27" s="285">
        <f>+'vš_druh studia '!E93</f>
        <v>141054</v>
      </c>
      <c r="P27" s="285">
        <f>+'vš_druh studia '!E101</f>
        <v>134257</v>
      </c>
      <c r="Q27" s="285">
        <f>+'vš_druh studia '!E109</f>
        <v>121761</v>
      </c>
      <c r="R27" s="285">
        <f>+'vš_druh studia '!E117</f>
        <v>113093</v>
      </c>
      <c r="S27" s="285">
        <f>+'vš_druh studia '!E125</f>
        <v>102791</v>
      </c>
      <c r="T27" s="286">
        <f>+'vš_druh studia '!E133</f>
        <v>97998</v>
      </c>
    </row>
    <row r="28" spans="1:20" ht="13.5" thickBot="1" x14ac:dyDescent="0.25">
      <c r="A28" s="280" t="s">
        <v>83</v>
      </c>
      <c r="B28" s="281"/>
      <c r="C28" s="281"/>
      <c r="D28" s="281"/>
      <c r="E28" s="281"/>
      <c r="F28" s="281"/>
      <c r="G28" s="281"/>
      <c r="H28" s="281"/>
      <c r="I28" s="281"/>
      <c r="J28" s="282"/>
      <c r="K28" s="281"/>
      <c r="L28" s="281"/>
      <c r="M28" s="281"/>
      <c r="N28" s="281"/>
      <c r="O28" s="281"/>
      <c r="P28" s="281"/>
      <c r="Q28" s="281"/>
      <c r="R28" s="281"/>
      <c r="S28" s="281"/>
      <c r="T28" s="287"/>
    </row>
    <row r="29" spans="1:20" x14ac:dyDescent="0.2">
      <c r="A29" s="253" t="s">
        <v>71</v>
      </c>
      <c r="B29" s="288">
        <v>1.3434387180597662</v>
      </c>
      <c r="C29" s="288">
        <v>1.3569275644141954</v>
      </c>
      <c r="D29" s="288">
        <v>1.598224113891539</v>
      </c>
      <c r="E29" s="288">
        <v>1.4228019171839397</v>
      </c>
      <c r="F29" s="289" t="s">
        <v>21</v>
      </c>
      <c r="G29" s="289">
        <v>1.4377793164222321</v>
      </c>
      <c r="H29" s="288">
        <f>H5/H17</f>
        <v>1.3852204512523287</v>
      </c>
      <c r="I29" s="288">
        <v>1.3908845374746792</v>
      </c>
      <c r="J29" s="290">
        <v>1.3942830918507834</v>
      </c>
      <c r="K29" s="291">
        <v>1.3614165175147022</v>
      </c>
      <c r="L29" s="292">
        <v>1.3685871142803054</v>
      </c>
      <c r="M29" s="292">
        <f t="shared" ref="M29:O37" si="0">M5/M17</f>
        <v>1.3561564349541604</v>
      </c>
      <c r="N29" s="292">
        <f t="shared" si="0"/>
        <v>1.3622938128982314</v>
      </c>
      <c r="O29" s="292">
        <f t="shared" si="0"/>
        <v>1.3517113783533765</v>
      </c>
      <c r="P29" s="292">
        <f t="shared" ref="P29:Q29" si="1">P5/P17</f>
        <v>1.3621213059909547</v>
      </c>
      <c r="Q29" s="292">
        <f t="shared" si="1"/>
        <v>1.3645536010620645</v>
      </c>
      <c r="R29" s="292">
        <f t="shared" ref="R29:T29" si="2">R5/R17</f>
        <v>1.3812014345487149</v>
      </c>
      <c r="S29" s="292">
        <f t="shared" ref="S29" si="3">S5/S17</f>
        <v>1.3926390100737684</v>
      </c>
      <c r="T29" s="293">
        <f t="shared" si="2"/>
        <v>1.3822703569995989</v>
      </c>
    </row>
    <row r="30" spans="1:20" x14ac:dyDescent="0.2">
      <c r="A30" s="260" t="s">
        <v>73</v>
      </c>
      <c r="B30" s="294">
        <v>1.5583850931677019</v>
      </c>
      <c r="C30" s="294">
        <v>1.3920371984888114</v>
      </c>
      <c r="D30" s="294">
        <v>1.5902343316181098</v>
      </c>
      <c r="E30" s="294">
        <v>1.5703672105506381</v>
      </c>
      <c r="F30" s="295" t="s">
        <v>21</v>
      </c>
      <c r="G30" s="295">
        <v>1.2666946661066778</v>
      </c>
      <c r="H30" s="294">
        <f>H6/H18</f>
        <v>1.4897934011717546</v>
      </c>
      <c r="I30" s="294">
        <v>1.4478048198520639</v>
      </c>
      <c r="J30" s="296">
        <v>1.416654530626511</v>
      </c>
      <c r="K30" s="297">
        <v>1.3639733135656043</v>
      </c>
      <c r="L30" s="298">
        <v>1.3734577803704244</v>
      </c>
      <c r="M30" s="298">
        <f t="shared" si="0"/>
        <v>1.361228310374696</v>
      </c>
      <c r="N30" s="298">
        <f t="shared" si="0"/>
        <v>1.3585652894419009</v>
      </c>
      <c r="O30" s="298">
        <f t="shared" si="0"/>
        <v>1.358913540250499</v>
      </c>
      <c r="P30" s="298">
        <f t="shared" ref="P30:Q30" si="4">P6/P18</f>
        <v>1.3555873327970924</v>
      </c>
      <c r="Q30" s="298">
        <f t="shared" si="4"/>
        <v>1.3313973120821234</v>
      </c>
      <c r="R30" s="298">
        <f t="shared" ref="R30:T30" si="5">R6/R18</f>
        <v>1.3445998880805821</v>
      </c>
      <c r="S30" s="298">
        <f t="shared" ref="S30" si="6">S6/S18</f>
        <v>1.3628492880883016</v>
      </c>
      <c r="T30" s="299">
        <f t="shared" si="5"/>
        <v>1.3360890838535515</v>
      </c>
    </row>
    <row r="31" spans="1:20" x14ac:dyDescent="0.2">
      <c r="A31" s="260" t="s">
        <v>74</v>
      </c>
      <c r="B31" s="294">
        <v>1.2736057982685727</v>
      </c>
      <c r="C31" s="294">
        <v>1.2093377315402183</v>
      </c>
      <c r="D31" s="294">
        <v>1.3060084878266696</v>
      </c>
      <c r="E31" s="294">
        <v>1.283584802763134</v>
      </c>
      <c r="F31" s="295" t="s">
        <v>21</v>
      </c>
      <c r="G31" s="295">
        <v>1.3307599931377594</v>
      </c>
      <c r="H31" s="294">
        <f>H7/H19</f>
        <v>1.3671279738765356</v>
      </c>
      <c r="I31" s="294">
        <v>1.3564954682779455</v>
      </c>
      <c r="J31" s="296">
        <v>1.3837682908432645</v>
      </c>
      <c r="K31" s="297">
        <v>1.3524363636363637</v>
      </c>
      <c r="L31" s="298">
        <v>1.3304290429042904</v>
      </c>
      <c r="M31" s="298">
        <f t="shared" si="0"/>
        <v>1.361463778939507</v>
      </c>
      <c r="N31" s="298">
        <f t="shared" si="0"/>
        <v>1.3989169675090252</v>
      </c>
      <c r="O31" s="298">
        <f t="shared" si="0"/>
        <v>1.3250314177996116</v>
      </c>
      <c r="P31" s="298">
        <f t="shared" ref="P31:Q31" si="7">P7/P19</f>
        <v>1.3279746681281208</v>
      </c>
      <c r="Q31" s="298">
        <f t="shared" si="7"/>
        <v>1.337578781512605</v>
      </c>
      <c r="R31" s="298">
        <f t="shared" ref="R31:T31" si="8">R7/R19</f>
        <v>1.3459266382744883</v>
      </c>
      <c r="S31" s="298">
        <f t="shared" ref="S31" si="9">S7/S19</f>
        <v>1.3402451944906917</v>
      </c>
      <c r="T31" s="299">
        <f t="shared" si="8"/>
        <v>1.3440538519072551</v>
      </c>
    </row>
    <row r="32" spans="1:20" x14ac:dyDescent="0.2">
      <c r="A32" s="260" t="s">
        <v>75</v>
      </c>
      <c r="B32" s="294">
        <v>1.9100099672504627</v>
      </c>
      <c r="C32" s="294">
        <v>1.7753944090783282</v>
      </c>
      <c r="D32" s="294">
        <v>1.9479722821765306</v>
      </c>
      <c r="E32" s="294">
        <v>1.8943301897511646</v>
      </c>
      <c r="F32" s="295" t="s">
        <v>21</v>
      </c>
      <c r="G32" s="295">
        <v>1.9135911424903722</v>
      </c>
      <c r="H32" s="294">
        <f>H8/H20</f>
        <v>2.0178275617259605</v>
      </c>
      <c r="I32" s="294">
        <v>2.1196706172079423</v>
      </c>
      <c r="J32" s="296">
        <v>2.1166997223324078</v>
      </c>
      <c r="K32" s="297">
        <v>2.2322795341098169</v>
      </c>
      <c r="L32" s="298">
        <v>2.2034306116113007</v>
      </c>
      <c r="M32" s="298">
        <f t="shared" si="0"/>
        <v>2.2073885710249348</v>
      </c>
      <c r="N32" s="298">
        <f t="shared" si="0"/>
        <v>2.2251111871365037</v>
      </c>
      <c r="O32" s="298">
        <f t="shared" si="0"/>
        <v>2.2283170779603325</v>
      </c>
      <c r="P32" s="298">
        <f t="shared" ref="P32:Q32" si="10">P8/P20</f>
        <v>2.1716337974922815</v>
      </c>
      <c r="Q32" s="298">
        <f t="shared" si="10"/>
        <v>2.2437408928334879</v>
      </c>
      <c r="R32" s="298">
        <f t="shared" ref="R32:T32" si="11">R8/R20</f>
        <v>2.2902969247083775</v>
      </c>
      <c r="S32" s="298">
        <f t="shared" ref="S32" si="12">S8/S20</f>
        <v>2.3437993816557885</v>
      </c>
      <c r="T32" s="299">
        <f t="shared" si="11"/>
        <v>2.4252873563218391</v>
      </c>
    </row>
    <row r="33" spans="1:20" x14ac:dyDescent="0.2">
      <c r="A33" s="260" t="s">
        <v>76</v>
      </c>
      <c r="B33" s="294">
        <v>1.4267513456995702</v>
      </c>
      <c r="C33" s="294">
        <v>1.4089439093090379</v>
      </c>
      <c r="D33" s="294">
        <v>1.5199937641281471</v>
      </c>
      <c r="E33" s="294">
        <v>1.5649373108517077</v>
      </c>
      <c r="F33" s="295" t="s">
        <v>72</v>
      </c>
      <c r="G33" s="295">
        <v>1.6115963347736815</v>
      </c>
      <c r="H33" s="294">
        <v>1.6613153654606709</v>
      </c>
      <c r="I33" s="294">
        <v>1.6613153654606709</v>
      </c>
      <c r="J33" s="296">
        <v>1.6613153654606709</v>
      </c>
      <c r="K33" s="297">
        <v>1.7608829695400172</v>
      </c>
      <c r="L33" s="298">
        <v>1.787443045416687</v>
      </c>
      <c r="M33" s="298">
        <f t="shared" si="0"/>
        <v>1.7488766114180478</v>
      </c>
      <c r="N33" s="298">
        <f t="shared" si="0"/>
        <v>1.6970324535926253</v>
      </c>
      <c r="O33" s="298">
        <f t="shared" si="0"/>
        <v>1.6745276625735275</v>
      </c>
      <c r="P33" s="298">
        <f t="shared" ref="P33:Q33" si="13">P9/P21</f>
        <v>1.6540103474597834</v>
      </c>
      <c r="Q33" s="298">
        <f t="shared" si="13"/>
        <v>1.6429583731584325</v>
      </c>
      <c r="R33" s="298">
        <f t="shared" ref="R33:T33" si="14">R9/R21</f>
        <v>1.6568743887103534</v>
      </c>
      <c r="S33" s="298">
        <f t="shared" ref="S33" si="15">S9/S21</f>
        <v>1.6698647078664317</v>
      </c>
      <c r="T33" s="299">
        <f t="shared" si="14"/>
        <v>1.6613496441992484</v>
      </c>
    </row>
    <row r="34" spans="1:20" x14ac:dyDescent="0.2">
      <c r="A34" s="260" t="s">
        <v>77</v>
      </c>
      <c r="B34" s="294">
        <v>1.7676676109537299</v>
      </c>
      <c r="C34" s="294">
        <v>1.6173848745019102</v>
      </c>
      <c r="D34" s="294">
        <v>1.733469387755102</v>
      </c>
      <c r="E34" s="294">
        <v>1.6615331171838814</v>
      </c>
      <c r="F34" s="295" t="s">
        <v>72</v>
      </c>
      <c r="G34" s="295">
        <v>1.7293314873417722</v>
      </c>
      <c r="H34" s="294">
        <v>1.8328679936353538</v>
      </c>
      <c r="I34" s="294">
        <v>1.8328679936353538</v>
      </c>
      <c r="J34" s="296">
        <v>1.8328679936353538</v>
      </c>
      <c r="K34" s="297">
        <v>1.7210856843807982</v>
      </c>
      <c r="L34" s="298">
        <v>1.6997367746744625</v>
      </c>
      <c r="M34" s="298">
        <f t="shared" si="0"/>
        <v>1.6590171534538711</v>
      </c>
      <c r="N34" s="298">
        <f t="shared" si="0"/>
        <v>1.6854040089939244</v>
      </c>
      <c r="O34" s="298">
        <f t="shared" si="0"/>
        <v>1.6712973988515785</v>
      </c>
      <c r="P34" s="298">
        <f t="shared" ref="P34:Q34" si="16">P10/P22</f>
        <v>1.6347913643498091</v>
      </c>
      <c r="Q34" s="298">
        <f t="shared" si="16"/>
        <v>1.5763381673194312</v>
      </c>
      <c r="R34" s="298">
        <f t="shared" ref="R34:T34" si="17">R10/R22</f>
        <v>1.5550882776388573</v>
      </c>
      <c r="S34" s="298">
        <f t="shared" ref="S34" si="18">S10/S22</f>
        <v>1.5486491259049973</v>
      </c>
      <c r="T34" s="299">
        <f t="shared" si="17"/>
        <v>1.511620217288616</v>
      </c>
    </row>
    <row r="35" spans="1:20" x14ac:dyDescent="0.2">
      <c r="A35" s="260" t="s">
        <v>78</v>
      </c>
      <c r="B35" s="294">
        <v>1.6034796682176815</v>
      </c>
      <c r="C35" s="294">
        <v>1.5175482787573467</v>
      </c>
      <c r="D35" s="294">
        <v>1.6258942065491184</v>
      </c>
      <c r="E35" s="294">
        <v>1.5928961748633881</v>
      </c>
      <c r="F35" s="295" t="s">
        <v>72</v>
      </c>
      <c r="G35" s="295">
        <v>1.5004723493932126</v>
      </c>
      <c r="H35" s="294">
        <f>H11/H23</f>
        <v>1.557035064358633</v>
      </c>
      <c r="I35" s="294">
        <v>1.5829728185454248</v>
      </c>
      <c r="J35" s="296">
        <v>1.5653966557226846</v>
      </c>
      <c r="K35" s="297">
        <v>1.5542510121457489</v>
      </c>
      <c r="L35" s="298">
        <v>1.5812128222075348</v>
      </c>
      <c r="M35" s="298">
        <f t="shared" si="0"/>
        <v>1.5697942532813054</v>
      </c>
      <c r="N35" s="298">
        <f t="shared" si="0"/>
        <v>1.5469902006532898</v>
      </c>
      <c r="O35" s="298">
        <f t="shared" si="0"/>
        <v>1.4454181542789137</v>
      </c>
      <c r="P35" s="298">
        <f t="shared" ref="P35:Q35" si="19">P11/P23</f>
        <v>1.453579418344519</v>
      </c>
      <c r="Q35" s="298">
        <f t="shared" si="19"/>
        <v>1.4706445055602058</v>
      </c>
      <c r="R35" s="298">
        <f t="shared" ref="R35:T35" si="20">R11/R23</f>
        <v>1.4743436754176611</v>
      </c>
      <c r="S35" s="298">
        <f t="shared" ref="S35" si="21">S11/S23</f>
        <v>1.483676865958264</v>
      </c>
      <c r="T35" s="299">
        <f t="shared" si="20"/>
        <v>1.5128681727194739</v>
      </c>
    </row>
    <row r="36" spans="1:20" x14ac:dyDescent="0.2">
      <c r="A36" s="260" t="s">
        <v>79</v>
      </c>
      <c r="B36" s="294">
        <v>1.47166760172932</v>
      </c>
      <c r="C36" s="294">
        <v>1.4406831351021654</v>
      </c>
      <c r="D36" s="294">
        <v>1.521130460891758</v>
      </c>
      <c r="E36" s="294">
        <v>1.5329317534917588</v>
      </c>
      <c r="F36" s="295" t="s">
        <v>72</v>
      </c>
      <c r="G36" s="295">
        <v>1.4618287552585993</v>
      </c>
      <c r="H36" s="294">
        <f>H12/H24</f>
        <v>1.4450955997904662</v>
      </c>
      <c r="I36" s="294">
        <v>1.4208867060463264</v>
      </c>
      <c r="J36" s="296">
        <v>1.4371584699453552</v>
      </c>
      <c r="K36" s="297">
        <v>1.4391138896439251</v>
      </c>
      <c r="L36" s="298">
        <v>1.4470221369337262</v>
      </c>
      <c r="M36" s="298">
        <f t="shared" si="0"/>
        <v>1.478441127694859</v>
      </c>
      <c r="N36" s="298">
        <f t="shared" si="0"/>
        <v>1.4983039848980917</v>
      </c>
      <c r="O36" s="298">
        <f t="shared" si="0"/>
        <v>1.5131996117761242</v>
      </c>
      <c r="P36" s="298">
        <f t="shared" ref="P36:Q36" si="22">P12/P24</f>
        <v>1.5050855867030513</v>
      </c>
      <c r="Q36" s="298">
        <f t="shared" si="22"/>
        <v>1.5454477219845379</v>
      </c>
      <c r="R36" s="298">
        <f t="shared" ref="R36:T36" si="23">R12/R24</f>
        <v>1.5863180673938966</v>
      </c>
      <c r="S36" s="298">
        <f t="shared" ref="S36" si="24">S12/S24</f>
        <v>1.5965211288786405</v>
      </c>
      <c r="T36" s="299">
        <f t="shared" si="23"/>
        <v>1.6018631239083259</v>
      </c>
    </row>
    <row r="37" spans="1:20" x14ac:dyDescent="0.2">
      <c r="A37" s="260" t="s">
        <v>80</v>
      </c>
      <c r="B37" s="294">
        <v>1.3268967614413867</v>
      </c>
      <c r="C37" s="294">
        <v>1.2628795632889798</v>
      </c>
      <c r="D37" s="294">
        <v>1.3336968375136313</v>
      </c>
      <c r="E37" s="294">
        <v>1.328579916815211</v>
      </c>
      <c r="F37" s="295" t="s">
        <v>72</v>
      </c>
      <c r="G37" s="295">
        <v>1.3423469387755103</v>
      </c>
      <c r="H37" s="294">
        <f>H13/H25</f>
        <v>1.4604583602324079</v>
      </c>
      <c r="I37" s="294">
        <v>1.4438436582728256</v>
      </c>
      <c r="J37" s="296">
        <v>1.4281291463954002</v>
      </c>
      <c r="K37" s="297">
        <v>1.4661879114302814</v>
      </c>
      <c r="L37" s="298">
        <v>1.4923582345379232</v>
      </c>
      <c r="M37" s="298">
        <f t="shared" si="0"/>
        <v>1.4647431386347642</v>
      </c>
      <c r="N37" s="298">
        <f t="shared" si="0"/>
        <v>1.4898513436249285</v>
      </c>
      <c r="O37" s="298">
        <f t="shared" si="0"/>
        <v>1.4908402725208176</v>
      </c>
      <c r="P37" s="298">
        <f t="shared" ref="P37:Q37" si="25">P13/P25</f>
        <v>1.4918087596121699</v>
      </c>
      <c r="Q37" s="298">
        <f t="shared" si="25"/>
        <v>1.4866631337219574</v>
      </c>
      <c r="R37" s="298">
        <f t="shared" ref="R37:T37" si="26">R13/R25</f>
        <v>1.4759036144578312</v>
      </c>
      <c r="S37" s="298">
        <f t="shared" ref="S37" si="27">S13/S25</f>
        <v>1.4733882305683872</v>
      </c>
      <c r="T37" s="299">
        <f t="shared" si="26"/>
        <v>1.4614782948768088</v>
      </c>
    </row>
    <row r="38" spans="1:20" x14ac:dyDescent="0.2">
      <c r="A38" s="267" t="s">
        <v>81</v>
      </c>
      <c r="B38" s="300" t="s">
        <v>67</v>
      </c>
      <c r="C38" s="300" t="s">
        <v>67</v>
      </c>
      <c r="D38" s="300" t="s">
        <v>67</v>
      </c>
      <c r="E38" s="300" t="s">
        <v>67</v>
      </c>
      <c r="F38" s="301" t="s">
        <v>72</v>
      </c>
      <c r="G38" s="301">
        <v>1.2141702586206897</v>
      </c>
      <c r="H38" s="300" t="s">
        <v>67</v>
      </c>
      <c r="I38" s="300" t="s">
        <v>67</v>
      </c>
      <c r="J38" s="302" t="s">
        <v>67</v>
      </c>
      <c r="K38" s="303" t="s">
        <v>67</v>
      </c>
      <c r="L38" s="304" t="s">
        <v>67</v>
      </c>
      <c r="M38" s="304" t="s">
        <v>67</v>
      </c>
      <c r="N38" s="304" t="s">
        <v>67</v>
      </c>
      <c r="O38" s="304" t="s">
        <v>67</v>
      </c>
      <c r="P38" s="304" t="s">
        <v>67</v>
      </c>
      <c r="Q38" s="304" t="s">
        <v>67</v>
      </c>
      <c r="R38" s="304" t="s">
        <v>67</v>
      </c>
      <c r="S38" s="304" t="s">
        <v>67</v>
      </c>
      <c r="T38" s="305" t="s">
        <v>67</v>
      </c>
    </row>
    <row r="39" spans="1:20" ht="13.5" thickBot="1" x14ac:dyDescent="0.25">
      <c r="A39" s="273" t="s">
        <v>48</v>
      </c>
      <c r="B39" s="306">
        <v>2.2175760392264721</v>
      </c>
      <c r="C39" s="306">
        <v>2.0116248731700246</v>
      </c>
      <c r="D39" s="306">
        <v>2.2614476190476189</v>
      </c>
      <c r="E39" s="306">
        <v>2.1500257239453182</v>
      </c>
      <c r="F39" s="307" t="s">
        <v>72</v>
      </c>
      <c r="G39" s="307">
        <v>2.1861944105620892</v>
      </c>
      <c r="H39" s="306">
        <f>H15/H27</f>
        <v>2.2211856551848865</v>
      </c>
      <c r="I39" s="306">
        <v>2.2006877738762007</v>
      </c>
      <c r="J39" s="308">
        <v>2.205068119891008</v>
      </c>
      <c r="K39" s="309">
        <v>2.1752695619109699</v>
      </c>
      <c r="L39" s="310">
        <v>2.2165666348383577</v>
      </c>
      <c r="M39" s="310">
        <f t="shared" ref="M39:R39" si="28">M15/M27</f>
        <v>2.2016096900151405</v>
      </c>
      <c r="N39" s="310">
        <f t="shared" si="28"/>
        <v>2.2061318200958473</v>
      </c>
      <c r="O39" s="310">
        <f t="shared" si="28"/>
        <v>2.1938548357366683</v>
      </c>
      <c r="P39" s="310">
        <f t="shared" si="28"/>
        <v>2.1671346745421096</v>
      </c>
      <c r="Q39" s="310">
        <f t="shared" si="28"/>
        <v>2.1391660712379168</v>
      </c>
      <c r="R39" s="310">
        <f t="shared" si="28"/>
        <v>2.1550228572944392</v>
      </c>
      <c r="S39" s="310">
        <f t="shared" ref="S39" si="29">S15/S27</f>
        <v>2.1806481112159624</v>
      </c>
      <c r="T39" s="311">
        <f t="shared" ref="T39" si="30">T15/T27</f>
        <v>2.1767485050715321</v>
      </c>
    </row>
    <row r="40" spans="1:20" ht="13.5" thickBot="1" x14ac:dyDescent="0.25">
      <c r="A40" s="280" t="s">
        <v>84</v>
      </c>
      <c r="B40" s="281"/>
      <c r="C40" s="281"/>
      <c r="D40" s="281"/>
      <c r="E40" s="281"/>
      <c r="F40" s="281"/>
      <c r="G40" s="281"/>
      <c r="H40" s="281"/>
      <c r="I40" s="281"/>
      <c r="J40" s="282"/>
      <c r="K40" s="281"/>
      <c r="L40" s="281"/>
      <c r="M40" s="281"/>
      <c r="N40" s="281"/>
      <c r="O40" s="281"/>
      <c r="P40" s="281"/>
      <c r="Q40" s="281"/>
      <c r="R40" s="281"/>
      <c r="S40" s="281"/>
      <c r="T40" s="287"/>
    </row>
    <row r="41" spans="1:20" x14ac:dyDescent="0.2">
      <c r="A41" s="253" t="s">
        <v>71</v>
      </c>
      <c r="B41" s="312" t="s">
        <v>21</v>
      </c>
      <c r="C41" s="312" t="s">
        <v>21</v>
      </c>
      <c r="D41" s="312">
        <v>11673</v>
      </c>
      <c r="E41" s="312">
        <v>10667</v>
      </c>
      <c r="F41" s="255">
        <v>12368</v>
      </c>
      <c r="G41" s="313">
        <v>12726</v>
      </c>
      <c r="H41" s="314">
        <v>12679</v>
      </c>
      <c r="I41" s="314">
        <v>12903</v>
      </c>
      <c r="J41" s="315">
        <v>13528</v>
      </c>
      <c r="K41" s="257">
        <v>13988</v>
      </c>
      <c r="L41" s="258">
        <v>14488</v>
      </c>
      <c r="M41" s="258">
        <v>15869</v>
      </c>
      <c r="N41" s="258">
        <v>15385</v>
      </c>
      <c r="O41" s="258">
        <v>14756</v>
      </c>
      <c r="P41" s="258">
        <v>14890</v>
      </c>
      <c r="Q41" s="258">
        <v>13939</v>
      </c>
      <c r="R41" s="258">
        <v>12412</v>
      </c>
      <c r="S41" s="258">
        <v>11526</v>
      </c>
      <c r="T41" s="259">
        <v>11368</v>
      </c>
    </row>
    <row r="42" spans="1:20" x14ac:dyDescent="0.2">
      <c r="A42" s="260" t="s">
        <v>73</v>
      </c>
      <c r="B42" s="316" t="s">
        <v>21</v>
      </c>
      <c r="C42" s="316" t="s">
        <v>21</v>
      </c>
      <c r="D42" s="316">
        <v>23660</v>
      </c>
      <c r="E42" s="316">
        <v>24854</v>
      </c>
      <c r="F42" s="262">
        <v>28681</v>
      </c>
      <c r="G42" s="317">
        <v>29427</v>
      </c>
      <c r="H42" s="90">
        <v>29328</v>
      </c>
      <c r="I42" s="90">
        <v>30666</v>
      </c>
      <c r="J42" s="318">
        <v>31289</v>
      </c>
      <c r="K42" s="264">
        <v>32350</v>
      </c>
      <c r="L42" s="265">
        <v>31919</v>
      </c>
      <c r="M42" s="265">
        <v>33424</v>
      </c>
      <c r="N42" s="265">
        <v>33529</v>
      </c>
      <c r="O42" s="265">
        <v>32392</v>
      </c>
      <c r="P42" s="265">
        <v>31555</v>
      </c>
      <c r="Q42" s="265">
        <v>27781</v>
      </c>
      <c r="R42" s="265">
        <v>25001</v>
      </c>
      <c r="S42" s="265">
        <v>22874</v>
      </c>
      <c r="T42" s="266">
        <v>22486</v>
      </c>
    </row>
    <row r="43" spans="1:20" x14ac:dyDescent="0.2">
      <c r="A43" s="260" t="s">
        <v>74</v>
      </c>
      <c r="B43" s="316" t="s">
        <v>21</v>
      </c>
      <c r="C43" s="316" t="s">
        <v>21</v>
      </c>
      <c r="D43" s="316">
        <v>3809</v>
      </c>
      <c r="E43" s="316">
        <v>4718</v>
      </c>
      <c r="F43" s="262">
        <v>5029</v>
      </c>
      <c r="G43" s="317">
        <v>5456</v>
      </c>
      <c r="H43" s="90">
        <v>5786</v>
      </c>
      <c r="I43" s="90">
        <v>6106</v>
      </c>
      <c r="J43" s="318">
        <v>6069</v>
      </c>
      <c r="K43" s="264">
        <v>6371</v>
      </c>
      <c r="L43" s="265">
        <v>7054</v>
      </c>
      <c r="M43" s="265">
        <v>7313</v>
      </c>
      <c r="N43" s="265">
        <v>6993</v>
      </c>
      <c r="O43" s="265">
        <v>7798</v>
      </c>
      <c r="P43" s="265">
        <v>7204</v>
      </c>
      <c r="Q43" s="265">
        <v>6610</v>
      </c>
      <c r="R43" s="265">
        <v>6282</v>
      </c>
      <c r="S43" s="265">
        <v>5766</v>
      </c>
      <c r="T43" s="266">
        <v>6086</v>
      </c>
    </row>
    <row r="44" spans="1:20" x14ac:dyDescent="0.2">
      <c r="A44" s="260" t="s">
        <v>75</v>
      </c>
      <c r="B44" s="316" t="s">
        <v>21</v>
      </c>
      <c r="C44" s="316" t="s">
        <v>21</v>
      </c>
      <c r="D44" s="316">
        <v>7639</v>
      </c>
      <c r="E44" s="316">
        <v>7636</v>
      </c>
      <c r="F44" s="262">
        <v>8875</v>
      </c>
      <c r="G44" s="317">
        <v>10794</v>
      </c>
      <c r="H44" s="90">
        <v>11128</v>
      </c>
      <c r="I44" s="90">
        <v>11433</v>
      </c>
      <c r="J44" s="318">
        <v>11058</v>
      </c>
      <c r="K44" s="264">
        <v>10516</v>
      </c>
      <c r="L44" s="265">
        <v>11359</v>
      </c>
      <c r="M44" s="265">
        <v>12478</v>
      </c>
      <c r="N44" s="265">
        <v>12855</v>
      </c>
      <c r="O44" s="265">
        <v>13391</v>
      </c>
      <c r="P44" s="265">
        <v>13773</v>
      </c>
      <c r="Q44" s="265">
        <v>12957</v>
      </c>
      <c r="R44" s="265">
        <v>12798</v>
      </c>
      <c r="S44" s="265">
        <v>12315</v>
      </c>
      <c r="T44" s="266">
        <v>11704</v>
      </c>
    </row>
    <row r="45" spans="1:20" x14ac:dyDescent="0.2">
      <c r="A45" s="260" t="s">
        <v>76</v>
      </c>
      <c r="B45" s="316" t="s">
        <v>21</v>
      </c>
      <c r="C45" s="316" t="s">
        <v>21</v>
      </c>
      <c r="D45" s="316">
        <v>21749</v>
      </c>
      <c r="E45" s="316">
        <v>23028</v>
      </c>
      <c r="F45" s="262">
        <v>25404</v>
      </c>
      <c r="G45" s="317">
        <v>28849</v>
      </c>
      <c r="H45" s="90">
        <v>30533</v>
      </c>
      <c r="I45" s="90">
        <v>31575</v>
      </c>
      <c r="J45" s="318">
        <v>34788</v>
      </c>
      <c r="K45" s="264">
        <v>35410</v>
      </c>
      <c r="L45" s="265">
        <v>35873</v>
      </c>
      <c r="M45" s="265">
        <v>35609</v>
      </c>
      <c r="N45" s="265">
        <v>34391</v>
      </c>
      <c r="O45" s="265">
        <v>31500</v>
      </c>
      <c r="P45" s="265">
        <v>29949</v>
      </c>
      <c r="Q45" s="265">
        <v>25424</v>
      </c>
      <c r="R45" s="265">
        <v>24132</v>
      </c>
      <c r="S45" s="265">
        <v>22536</v>
      </c>
      <c r="T45" s="266">
        <v>21240</v>
      </c>
    </row>
    <row r="46" spans="1:20" x14ac:dyDescent="0.2">
      <c r="A46" s="260" t="s">
        <v>77</v>
      </c>
      <c r="B46" s="316" t="s">
        <v>21</v>
      </c>
      <c r="C46" s="316" t="s">
        <v>21</v>
      </c>
      <c r="D46" s="316">
        <v>22778</v>
      </c>
      <c r="E46" s="316">
        <v>21913</v>
      </c>
      <c r="F46" s="262">
        <v>23714</v>
      </c>
      <c r="G46" s="317">
        <v>27438</v>
      </c>
      <c r="H46" s="90">
        <v>29345</v>
      </c>
      <c r="I46" s="90">
        <v>32502</v>
      </c>
      <c r="J46" s="318">
        <v>35214</v>
      </c>
      <c r="K46" s="264">
        <v>37670</v>
      </c>
      <c r="L46" s="265">
        <v>38924</v>
      </c>
      <c r="M46" s="265">
        <v>39250</v>
      </c>
      <c r="N46" s="265">
        <v>38426</v>
      </c>
      <c r="O46" s="265">
        <v>34555</v>
      </c>
      <c r="P46" s="265">
        <v>30185</v>
      </c>
      <c r="Q46" s="265">
        <v>25298</v>
      </c>
      <c r="R46" s="265">
        <v>23620</v>
      </c>
      <c r="S46" s="265">
        <v>20232</v>
      </c>
      <c r="T46" s="266">
        <v>19780</v>
      </c>
    </row>
    <row r="47" spans="1:20" x14ac:dyDescent="0.2">
      <c r="A47" s="260" t="s">
        <v>78</v>
      </c>
      <c r="B47" s="316" t="s">
        <v>21</v>
      </c>
      <c r="C47" s="316" t="s">
        <v>21</v>
      </c>
      <c r="D47" s="316">
        <v>8705</v>
      </c>
      <c r="E47" s="316">
        <v>8652</v>
      </c>
      <c r="F47" s="262">
        <v>10038</v>
      </c>
      <c r="G47" s="317">
        <v>12641</v>
      </c>
      <c r="H47" s="90">
        <v>12334</v>
      </c>
      <c r="I47" s="90">
        <v>11117</v>
      </c>
      <c r="J47" s="318">
        <v>11928</v>
      </c>
      <c r="K47" s="264">
        <v>10959</v>
      </c>
      <c r="L47" s="265">
        <v>11104</v>
      </c>
      <c r="M47" s="265">
        <v>10335</v>
      </c>
      <c r="N47" s="265">
        <v>9694</v>
      </c>
      <c r="O47" s="265">
        <v>8497</v>
      </c>
      <c r="P47" s="265">
        <v>8202</v>
      </c>
      <c r="Q47" s="265">
        <v>7655</v>
      </c>
      <c r="R47" s="265">
        <v>7776</v>
      </c>
      <c r="S47" s="265">
        <v>7230</v>
      </c>
      <c r="T47" s="266">
        <v>6378</v>
      </c>
    </row>
    <row r="48" spans="1:20" x14ac:dyDescent="0.2">
      <c r="A48" s="260" t="s">
        <v>79</v>
      </c>
      <c r="B48" s="316" t="s">
        <v>21</v>
      </c>
      <c r="C48" s="316" t="s">
        <v>21</v>
      </c>
      <c r="D48" s="316">
        <v>22956</v>
      </c>
      <c r="E48" s="316">
        <v>23739</v>
      </c>
      <c r="F48" s="262">
        <v>24212</v>
      </c>
      <c r="G48" s="317">
        <v>29102</v>
      </c>
      <c r="H48" s="90">
        <v>26798</v>
      </c>
      <c r="I48" s="90">
        <v>27268</v>
      </c>
      <c r="J48" s="318">
        <v>30298</v>
      </c>
      <c r="K48" s="264">
        <v>26640</v>
      </c>
      <c r="L48" s="265">
        <v>26448</v>
      </c>
      <c r="M48" s="265">
        <v>28359</v>
      </c>
      <c r="N48" s="265">
        <v>30610</v>
      </c>
      <c r="O48" s="265">
        <v>27800</v>
      </c>
      <c r="P48" s="265">
        <v>25058</v>
      </c>
      <c r="Q48" s="265">
        <v>23169</v>
      </c>
      <c r="R48" s="265">
        <v>19703</v>
      </c>
      <c r="S48" s="265">
        <v>17285</v>
      </c>
      <c r="T48" s="266">
        <v>16173</v>
      </c>
    </row>
    <row r="49" spans="1:20" x14ac:dyDescent="0.2">
      <c r="A49" s="260" t="s">
        <v>80</v>
      </c>
      <c r="B49" s="316" t="s">
        <v>21</v>
      </c>
      <c r="C49" s="316" t="s">
        <v>21</v>
      </c>
      <c r="D49" s="316">
        <v>4633</v>
      </c>
      <c r="E49" s="316">
        <v>4400</v>
      </c>
      <c r="F49" s="262">
        <v>4965</v>
      </c>
      <c r="G49" s="317">
        <v>5454</v>
      </c>
      <c r="H49" s="90">
        <v>5634</v>
      </c>
      <c r="I49" s="90">
        <v>5863</v>
      </c>
      <c r="J49" s="318">
        <v>6194</v>
      </c>
      <c r="K49" s="264">
        <v>5767</v>
      </c>
      <c r="L49" s="265">
        <v>6348</v>
      </c>
      <c r="M49" s="265">
        <v>6317</v>
      </c>
      <c r="N49" s="265">
        <v>6278</v>
      </c>
      <c r="O49" s="265">
        <v>5879</v>
      </c>
      <c r="P49" s="265">
        <v>5249</v>
      </c>
      <c r="Q49" s="265">
        <v>5020</v>
      </c>
      <c r="R49" s="265">
        <v>4836</v>
      </c>
      <c r="S49" s="265">
        <v>4361</v>
      </c>
      <c r="T49" s="266">
        <v>4429</v>
      </c>
    </row>
    <row r="50" spans="1:20" x14ac:dyDescent="0.2">
      <c r="A50" s="267" t="s">
        <v>81</v>
      </c>
      <c r="B50" s="319" t="s">
        <v>21</v>
      </c>
      <c r="C50" s="319" t="s">
        <v>21</v>
      </c>
      <c r="D50" s="269">
        <v>0</v>
      </c>
      <c r="E50" s="269">
        <v>0</v>
      </c>
      <c r="F50" s="269">
        <v>0</v>
      </c>
      <c r="G50" s="269">
        <v>0</v>
      </c>
      <c r="H50" s="268">
        <v>0</v>
      </c>
      <c r="I50" s="268">
        <v>0</v>
      </c>
      <c r="J50" s="270">
        <v>0</v>
      </c>
      <c r="K50" s="271">
        <v>0</v>
      </c>
      <c r="L50" s="269">
        <v>0</v>
      </c>
      <c r="M50" s="269">
        <v>0</v>
      </c>
      <c r="N50" s="269">
        <v>0</v>
      </c>
      <c r="O50" s="269">
        <v>0</v>
      </c>
      <c r="P50" s="269">
        <v>0</v>
      </c>
      <c r="Q50" s="269">
        <v>0</v>
      </c>
      <c r="R50" s="269">
        <v>0</v>
      </c>
      <c r="S50" s="269">
        <v>0</v>
      </c>
      <c r="T50" s="272"/>
    </row>
    <row r="51" spans="1:20" ht="13.5" thickBot="1" x14ac:dyDescent="0.25">
      <c r="A51" s="273" t="s">
        <v>48</v>
      </c>
      <c r="B51" s="320" t="s">
        <v>21</v>
      </c>
      <c r="C51" s="320" t="s">
        <v>21</v>
      </c>
      <c r="D51" s="320">
        <v>93669</v>
      </c>
      <c r="E51" s="320">
        <v>97965</v>
      </c>
      <c r="F51" s="320">
        <v>107156</v>
      </c>
      <c r="G51" s="320">
        <v>119283</v>
      </c>
      <c r="H51" s="320">
        <v>121312</v>
      </c>
      <c r="I51" s="320">
        <v>127124</v>
      </c>
      <c r="J51" s="320">
        <v>135226</v>
      </c>
      <c r="K51" s="320">
        <v>136113</v>
      </c>
      <c r="L51" s="320">
        <v>136766</v>
      </c>
      <c r="M51" s="320">
        <v>140072</v>
      </c>
      <c r="N51" s="320">
        <v>139280</v>
      </c>
      <c r="O51" s="320">
        <f>+'vš_druh studia '!H93</f>
        <v>130728</v>
      </c>
      <c r="P51" s="320">
        <f>+'vš_druh studia '!H101</f>
        <v>123766</v>
      </c>
      <c r="Q51" s="320">
        <f>+'vš_druh studia '!H109</f>
        <v>111374</v>
      </c>
      <c r="R51" s="320">
        <f>+'vš_druh studia '!H117</f>
        <v>103442</v>
      </c>
      <c r="S51" s="320">
        <f>+'vš_druh studia '!H125</f>
        <v>94068</v>
      </c>
      <c r="T51" s="279">
        <f>+'vš_druh studia '!H133</f>
        <v>90528</v>
      </c>
    </row>
    <row r="52" spans="1:20" ht="13.5" thickBot="1" x14ac:dyDescent="0.25">
      <c r="A52" s="280" t="s">
        <v>44</v>
      </c>
      <c r="B52" s="281"/>
      <c r="C52" s="281"/>
      <c r="D52" s="281"/>
      <c r="E52" s="281"/>
      <c r="F52" s="281"/>
      <c r="G52" s="281"/>
      <c r="H52" s="281"/>
      <c r="I52" s="281"/>
      <c r="J52" s="282"/>
      <c r="K52" s="281"/>
      <c r="L52" s="281"/>
      <c r="M52" s="281"/>
      <c r="N52" s="281"/>
      <c r="O52" s="281"/>
      <c r="P52" s="281"/>
      <c r="Q52" s="281"/>
      <c r="R52" s="281"/>
      <c r="S52" s="281"/>
      <c r="T52" s="287"/>
    </row>
    <row r="53" spans="1:20" x14ac:dyDescent="0.2">
      <c r="A53" s="253" t="s">
        <v>71</v>
      </c>
      <c r="B53" s="254">
        <v>4421</v>
      </c>
      <c r="C53" s="254">
        <v>4662</v>
      </c>
      <c r="D53" s="254">
        <v>6267</v>
      </c>
      <c r="E53" s="254">
        <v>6869</v>
      </c>
      <c r="F53" s="255">
        <v>7876</v>
      </c>
      <c r="G53" s="255">
        <v>8137</v>
      </c>
      <c r="H53" s="254">
        <v>8781</v>
      </c>
      <c r="I53" s="254">
        <v>9189</v>
      </c>
      <c r="J53" s="256">
        <v>10262</v>
      </c>
      <c r="K53" s="257">
        <v>11385</v>
      </c>
      <c r="L53" s="258">
        <v>11467</v>
      </c>
      <c r="M53" s="258">
        <v>12486</v>
      </c>
      <c r="N53" s="258">
        <v>11206</v>
      </c>
      <c r="O53" s="258">
        <v>10965</v>
      </c>
      <c r="P53" s="258">
        <v>10475</v>
      </c>
      <c r="Q53" s="258">
        <v>10109</v>
      </c>
      <c r="R53" s="258">
        <v>9518</v>
      </c>
      <c r="S53" s="258">
        <v>8555</v>
      </c>
      <c r="T53" s="259">
        <v>8558</v>
      </c>
    </row>
    <row r="54" spans="1:20" x14ac:dyDescent="0.2">
      <c r="A54" s="260" t="s">
        <v>73</v>
      </c>
      <c r="B54" s="261">
        <v>18673</v>
      </c>
      <c r="C54" s="261">
        <v>15441</v>
      </c>
      <c r="D54" s="261">
        <v>20423</v>
      </c>
      <c r="E54" s="261">
        <v>21378</v>
      </c>
      <c r="F54" s="262">
        <v>24861</v>
      </c>
      <c r="G54" s="262">
        <v>25943</v>
      </c>
      <c r="H54" s="261">
        <v>25936</v>
      </c>
      <c r="I54" s="261">
        <v>27595</v>
      </c>
      <c r="J54" s="263">
        <v>28183</v>
      </c>
      <c r="K54" s="264">
        <v>29323</v>
      </c>
      <c r="L54" s="265">
        <v>28973</v>
      </c>
      <c r="M54" s="265">
        <v>29749</v>
      </c>
      <c r="N54" s="265">
        <v>29212</v>
      </c>
      <c r="O54" s="265">
        <v>28098</v>
      </c>
      <c r="P54" s="265">
        <v>27427</v>
      </c>
      <c r="Q54" s="265">
        <v>24426</v>
      </c>
      <c r="R54" s="265">
        <v>21789</v>
      </c>
      <c r="S54" s="265">
        <v>20073</v>
      </c>
      <c r="T54" s="266">
        <v>19541</v>
      </c>
    </row>
    <row r="55" spans="1:20" x14ac:dyDescent="0.2">
      <c r="A55" s="260" t="s">
        <v>74</v>
      </c>
      <c r="B55" s="261">
        <v>2170</v>
      </c>
      <c r="C55" s="261">
        <v>2273</v>
      </c>
      <c r="D55" s="261">
        <v>2604</v>
      </c>
      <c r="E55" s="261">
        <v>3268</v>
      </c>
      <c r="F55" s="262">
        <v>3583</v>
      </c>
      <c r="G55" s="262">
        <v>3979</v>
      </c>
      <c r="H55" s="261">
        <v>4119</v>
      </c>
      <c r="I55" s="261">
        <v>4753</v>
      </c>
      <c r="J55" s="263">
        <v>4717</v>
      </c>
      <c r="K55" s="264">
        <v>5340</v>
      </c>
      <c r="L55" s="265">
        <v>5588</v>
      </c>
      <c r="M55" s="265">
        <v>5476</v>
      </c>
      <c r="N55" s="265">
        <v>5442</v>
      </c>
      <c r="O55" s="265">
        <v>6160</v>
      </c>
      <c r="P55" s="265">
        <v>5548</v>
      </c>
      <c r="Q55" s="265">
        <v>5128</v>
      </c>
      <c r="R55" s="265">
        <v>4910</v>
      </c>
      <c r="S55" s="265">
        <v>4942</v>
      </c>
      <c r="T55" s="266">
        <v>5235</v>
      </c>
    </row>
    <row r="56" spans="1:20" x14ac:dyDescent="0.2">
      <c r="A56" s="260" t="s">
        <v>75</v>
      </c>
      <c r="B56" s="261">
        <v>2530</v>
      </c>
      <c r="C56" s="261">
        <v>2592</v>
      </c>
      <c r="D56" s="261">
        <v>2907</v>
      </c>
      <c r="E56" s="261">
        <v>3345</v>
      </c>
      <c r="F56" s="262">
        <v>3913</v>
      </c>
      <c r="G56" s="262">
        <v>4304</v>
      </c>
      <c r="H56" s="261">
        <v>4660</v>
      </c>
      <c r="I56" s="261">
        <v>5194</v>
      </c>
      <c r="J56" s="263">
        <v>5041</v>
      </c>
      <c r="K56" s="264">
        <v>5285</v>
      </c>
      <c r="L56" s="265">
        <v>5888</v>
      </c>
      <c r="M56" s="265">
        <v>6300</v>
      </c>
      <c r="N56" s="265">
        <v>6588</v>
      </c>
      <c r="O56" s="265">
        <v>6320</v>
      </c>
      <c r="P56" s="265">
        <v>6480</v>
      </c>
      <c r="Q56" s="265">
        <v>6127</v>
      </c>
      <c r="R56" s="265">
        <v>6291</v>
      </c>
      <c r="S56" s="265">
        <v>6341</v>
      </c>
      <c r="T56" s="266">
        <v>6491</v>
      </c>
    </row>
    <row r="57" spans="1:20" x14ac:dyDescent="0.2">
      <c r="A57" s="260" t="s">
        <v>76</v>
      </c>
      <c r="B57" s="261">
        <v>5314</v>
      </c>
      <c r="C57" s="261">
        <v>5668</v>
      </c>
      <c r="D57" s="261">
        <v>6943</v>
      </c>
      <c r="E57" s="261">
        <v>8413</v>
      </c>
      <c r="F57" s="262">
        <v>10472</v>
      </c>
      <c r="G57" s="262">
        <v>12353</v>
      </c>
      <c r="H57" s="261">
        <v>13882</v>
      </c>
      <c r="I57" s="261">
        <v>15768</v>
      </c>
      <c r="J57" s="263">
        <v>17804</v>
      </c>
      <c r="K57" s="264">
        <v>20374</v>
      </c>
      <c r="L57" s="265">
        <v>20259</v>
      </c>
      <c r="M57" s="265">
        <v>19578</v>
      </c>
      <c r="N57" s="265">
        <v>18378</v>
      </c>
      <c r="O57" s="265">
        <v>17411</v>
      </c>
      <c r="P57" s="265">
        <v>16119</v>
      </c>
      <c r="Q57" s="265">
        <v>14424</v>
      </c>
      <c r="R57" s="265">
        <v>14207</v>
      </c>
      <c r="S57" s="265">
        <v>13662</v>
      </c>
      <c r="T57" s="266">
        <v>13098</v>
      </c>
    </row>
    <row r="58" spans="1:20" x14ac:dyDescent="0.2">
      <c r="A58" s="260" t="s">
        <v>77</v>
      </c>
      <c r="B58" s="261">
        <v>8484</v>
      </c>
      <c r="C58" s="261">
        <v>9824</v>
      </c>
      <c r="D58" s="261">
        <v>11669</v>
      </c>
      <c r="E58" s="261">
        <v>12927</v>
      </c>
      <c r="F58" s="262">
        <v>14330</v>
      </c>
      <c r="G58" s="262">
        <v>15839</v>
      </c>
      <c r="H58" s="261">
        <v>17928</v>
      </c>
      <c r="I58" s="261">
        <v>21712</v>
      </c>
      <c r="J58" s="263">
        <v>25096</v>
      </c>
      <c r="K58" s="264">
        <v>27553</v>
      </c>
      <c r="L58" s="265">
        <v>28715</v>
      </c>
      <c r="M58" s="265">
        <v>27477</v>
      </c>
      <c r="N58" s="265">
        <v>26766</v>
      </c>
      <c r="O58" s="265">
        <v>24211</v>
      </c>
      <c r="P58" s="265">
        <v>22464</v>
      </c>
      <c r="Q58" s="265">
        <v>19136</v>
      </c>
      <c r="R58" s="265">
        <v>18655</v>
      </c>
      <c r="S58" s="265">
        <v>16348</v>
      </c>
      <c r="T58" s="266">
        <v>16332</v>
      </c>
    </row>
    <row r="59" spans="1:20" x14ac:dyDescent="0.2">
      <c r="A59" s="260" t="s">
        <v>78</v>
      </c>
      <c r="B59" s="261">
        <v>1814</v>
      </c>
      <c r="C59" s="261">
        <v>1880</v>
      </c>
      <c r="D59" s="261">
        <v>2068</v>
      </c>
      <c r="E59" s="261">
        <v>2412</v>
      </c>
      <c r="F59" s="262">
        <v>2737</v>
      </c>
      <c r="G59" s="262">
        <v>2610</v>
      </c>
      <c r="H59" s="261">
        <v>3278</v>
      </c>
      <c r="I59" s="261">
        <v>3090</v>
      </c>
      <c r="J59" s="263">
        <v>3754</v>
      </c>
      <c r="K59" s="264">
        <v>3958</v>
      </c>
      <c r="L59" s="265">
        <v>3990</v>
      </c>
      <c r="M59" s="265">
        <v>3730</v>
      </c>
      <c r="N59" s="265">
        <v>3316</v>
      </c>
      <c r="O59" s="265">
        <v>3075</v>
      </c>
      <c r="P59" s="265">
        <v>3321</v>
      </c>
      <c r="Q59" s="265">
        <v>3408</v>
      </c>
      <c r="R59" s="265">
        <v>3832</v>
      </c>
      <c r="S59" s="265">
        <v>3722</v>
      </c>
      <c r="T59" s="266">
        <v>3707</v>
      </c>
    </row>
    <row r="60" spans="1:20" x14ac:dyDescent="0.2">
      <c r="A60" s="260" t="s">
        <v>79</v>
      </c>
      <c r="B60" s="261">
        <v>8923</v>
      </c>
      <c r="C60" s="261">
        <v>8012</v>
      </c>
      <c r="D60" s="261">
        <v>8884</v>
      </c>
      <c r="E60" s="261">
        <v>10535</v>
      </c>
      <c r="F60" s="262">
        <v>11385</v>
      </c>
      <c r="G60" s="262">
        <v>12854</v>
      </c>
      <c r="H60" s="261">
        <v>13528</v>
      </c>
      <c r="I60" s="261">
        <v>13458</v>
      </c>
      <c r="J60" s="263">
        <v>14988</v>
      </c>
      <c r="K60" s="264">
        <v>14315</v>
      </c>
      <c r="L60" s="265">
        <v>14336</v>
      </c>
      <c r="M60" s="265">
        <v>14984</v>
      </c>
      <c r="N60" s="265">
        <v>14128</v>
      </c>
      <c r="O60" s="265">
        <v>12821</v>
      </c>
      <c r="P60" s="265">
        <v>11852</v>
      </c>
      <c r="Q60" s="265">
        <v>10999</v>
      </c>
      <c r="R60" s="265">
        <v>9515</v>
      </c>
      <c r="S60" s="265">
        <v>9106</v>
      </c>
      <c r="T60" s="266">
        <v>9652</v>
      </c>
    </row>
    <row r="61" spans="1:20" x14ac:dyDescent="0.2">
      <c r="A61" s="260" t="s">
        <v>80</v>
      </c>
      <c r="B61" s="261">
        <v>1888</v>
      </c>
      <c r="C61" s="261">
        <v>989</v>
      </c>
      <c r="D61" s="261">
        <v>1031</v>
      </c>
      <c r="E61" s="261">
        <v>1012</v>
      </c>
      <c r="F61" s="262">
        <v>1320</v>
      </c>
      <c r="G61" s="262">
        <v>1678</v>
      </c>
      <c r="H61" s="261">
        <v>1910</v>
      </c>
      <c r="I61" s="261">
        <v>2178</v>
      </c>
      <c r="J61" s="263">
        <v>2421</v>
      </c>
      <c r="K61" s="264">
        <v>2487</v>
      </c>
      <c r="L61" s="265">
        <v>2634</v>
      </c>
      <c r="M61" s="265">
        <v>2598</v>
      </c>
      <c r="N61" s="265">
        <v>2579</v>
      </c>
      <c r="O61" s="265">
        <v>2462</v>
      </c>
      <c r="P61" s="265">
        <v>2244</v>
      </c>
      <c r="Q61" s="265">
        <v>2237</v>
      </c>
      <c r="R61" s="265">
        <v>2135</v>
      </c>
      <c r="S61" s="265">
        <v>1999</v>
      </c>
      <c r="T61" s="266">
        <v>2228</v>
      </c>
    </row>
    <row r="62" spans="1:20" x14ac:dyDescent="0.2">
      <c r="A62" s="267" t="s">
        <v>81</v>
      </c>
      <c r="B62" s="268">
        <v>0</v>
      </c>
      <c r="C62" s="268">
        <v>0</v>
      </c>
      <c r="D62" s="268">
        <v>0</v>
      </c>
      <c r="E62" s="268">
        <v>0</v>
      </c>
      <c r="F62" s="269">
        <v>0</v>
      </c>
      <c r="G62" s="269">
        <v>0</v>
      </c>
      <c r="H62" s="268">
        <v>0</v>
      </c>
      <c r="I62" s="268">
        <v>0</v>
      </c>
      <c r="J62" s="270">
        <v>0</v>
      </c>
      <c r="K62" s="271">
        <v>0</v>
      </c>
      <c r="L62" s="269">
        <v>0</v>
      </c>
      <c r="M62" s="269">
        <v>0</v>
      </c>
      <c r="N62" s="269">
        <v>0</v>
      </c>
      <c r="O62" s="269">
        <v>0</v>
      </c>
      <c r="P62" s="269">
        <v>0</v>
      </c>
      <c r="Q62" s="269">
        <v>0</v>
      </c>
      <c r="R62" s="269">
        <v>0</v>
      </c>
      <c r="S62" s="269">
        <v>0</v>
      </c>
      <c r="T62" s="272"/>
    </row>
    <row r="63" spans="1:20" ht="13.5" thickBot="1" x14ac:dyDescent="0.25">
      <c r="A63" s="273" t="s">
        <v>48</v>
      </c>
      <c r="B63" s="274">
        <v>47405</v>
      </c>
      <c r="C63" s="274">
        <v>45214</v>
      </c>
      <c r="D63" s="274">
        <v>54492</v>
      </c>
      <c r="E63" s="274">
        <v>60929</v>
      </c>
      <c r="F63" s="275">
        <v>69576</v>
      </c>
      <c r="G63" s="275">
        <v>75550</v>
      </c>
      <c r="H63" s="274">
        <v>81055</v>
      </c>
      <c r="I63" s="274">
        <v>89074</v>
      </c>
      <c r="J63" s="276">
        <v>97186</v>
      </c>
      <c r="K63" s="274">
        <v>104002</v>
      </c>
      <c r="L63" s="321">
        <v>105569</v>
      </c>
      <c r="M63" s="321">
        <v>106437</v>
      </c>
      <c r="N63" s="321">
        <v>103761</v>
      </c>
      <c r="O63" s="321">
        <f>+'vš_druh studia '!K93</f>
        <v>98261</v>
      </c>
      <c r="P63" s="321">
        <f>+'vš_druh studia '!K101</f>
        <v>93714</v>
      </c>
      <c r="Q63" s="321">
        <f>+'vš_druh studia '!K109</f>
        <v>84764</v>
      </c>
      <c r="R63" s="321">
        <f>+'vš_druh studia '!K117</f>
        <v>80302</v>
      </c>
      <c r="S63" s="321">
        <f>+'vš_druh studia '!K125</f>
        <v>74767</v>
      </c>
      <c r="T63" s="279">
        <f>+'vš_druh studia '!K133</f>
        <v>74623</v>
      </c>
    </row>
    <row r="64" spans="1:20" ht="13.5" thickBot="1" x14ac:dyDescent="0.25">
      <c r="A64" s="280" t="s">
        <v>85</v>
      </c>
      <c r="B64" s="281"/>
      <c r="C64" s="281"/>
      <c r="D64" s="281"/>
      <c r="E64" s="281"/>
      <c r="F64" s="281"/>
      <c r="G64" s="281"/>
      <c r="H64" s="281"/>
      <c r="I64" s="281"/>
      <c r="J64" s="282"/>
      <c r="K64" s="281"/>
      <c r="L64" s="281"/>
      <c r="M64" s="281"/>
      <c r="N64" s="281"/>
      <c r="O64" s="281"/>
      <c r="P64" s="281"/>
      <c r="Q64" s="281"/>
      <c r="R64" s="281"/>
      <c r="S64" s="281"/>
      <c r="T64" s="287"/>
    </row>
    <row r="65" spans="1:20" x14ac:dyDescent="0.2">
      <c r="A65" s="322" t="s">
        <v>71</v>
      </c>
      <c r="B65" s="323" t="s">
        <v>21</v>
      </c>
      <c r="C65" s="323" t="s">
        <v>21</v>
      </c>
      <c r="D65" s="323">
        <v>0.46165700447640712</v>
      </c>
      <c r="E65" s="323">
        <v>0.539954427594877</v>
      </c>
      <c r="F65" s="323">
        <f t="shared" ref="F65:F73" si="31">F53/F41</f>
        <v>0.63680465717981893</v>
      </c>
      <c r="G65" s="324">
        <f t="shared" ref="G65:J73" si="32">G53/G41</f>
        <v>0.63939965425113943</v>
      </c>
      <c r="H65" s="323">
        <f t="shared" si="32"/>
        <v>0.69256250492941085</v>
      </c>
      <c r="I65" s="323">
        <f>I53/I41</f>
        <v>0.71215996279934901</v>
      </c>
      <c r="J65" s="325">
        <f t="shared" si="32"/>
        <v>0.75857480780603193</v>
      </c>
      <c r="K65" s="326">
        <v>0.81391192450672001</v>
      </c>
      <c r="L65" s="327">
        <v>0.791482606294865</v>
      </c>
      <c r="M65" s="327">
        <f t="shared" ref="M65:O73" si="33">M53/M41</f>
        <v>0.78681706471737345</v>
      </c>
      <c r="N65" s="327">
        <f t="shared" si="33"/>
        <v>0.72837179070523239</v>
      </c>
      <c r="O65" s="327">
        <f t="shared" si="33"/>
        <v>0.74308755760368661</v>
      </c>
      <c r="P65" s="327">
        <f t="shared" ref="P65:Q65" si="34">P53/P41</f>
        <v>0.70349227669576897</v>
      </c>
      <c r="Q65" s="327">
        <f t="shared" si="34"/>
        <v>0.72523136523423493</v>
      </c>
      <c r="R65" s="327">
        <f t="shared" ref="R65:T65" si="35">R53/R41</f>
        <v>0.76683854334514989</v>
      </c>
      <c r="S65" s="327">
        <f t="shared" ref="S65" si="36">S53/S41</f>
        <v>0.74223494707617566</v>
      </c>
      <c r="T65" s="328">
        <f t="shared" si="35"/>
        <v>0.75281491907107667</v>
      </c>
    </row>
    <row r="66" spans="1:20" x14ac:dyDescent="0.2">
      <c r="A66" s="329" t="s">
        <v>73</v>
      </c>
      <c r="B66" s="330" t="s">
        <v>21</v>
      </c>
      <c r="C66" s="330" t="s">
        <v>21</v>
      </c>
      <c r="D66" s="330">
        <v>0.75722800133269164</v>
      </c>
      <c r="E66" s="330">
        <v>0.76097543635135612</v>
      </c>
      <c r="F66" s="330">
        <f t="shared" si="31"/>
        <v>0.86681078065618355</v>
      </c>
      <c r="G66" s="331">
        <f t="shared" si="32"/>
        <v>0.88160532843986816</v>
      </c>
      <c r="H66" s="330">
        <f t="shared" si="32"/>
        <v>0.88434260774686302</v>
      </c>
      <c r="I66" s="330">
        <f t="shared" si="32"/>
        <v>0.89985651861996996</v>
      </c>
      <c r="J66" s="332">
        <f t="shared" si="32"/>
        <v>0.90073188660551629</v>
      </c>
      <c r="K66" s="333">
        <v>0.90789188519768416</v>
      </c>
      <c r="L66" s="334">
        <v>0.90770387543469411</v>
      </c>
      <c r="M66" s="334">
        <f t="shared" si="33"/>
        <v>0.89004906653901383</v>
      </c>
      <c r="N66" s="334">
        <f t="shared" si="33"/>
        <v>0.87124578722896595</v>
      </c>
      <c r="O66" s="334">
        <f t="shared" si="33"/>
        <v>0.8674364040503828</v>
      </c>
      <c r="P66" s="334">
        <f t="shared" ref="P66:Q66" si="37">P54/P42</f>
        <v>0.86918079543653937</v>
      </c>
      <c r="Q66" s="334">
        <f t="shared" si="37"/>
        <v>0.87923400885497283</v>
      </c>
      <c r="R66" s="334">
        <f t="shared" ref="R66:T66" si="38">R54/R42</f>
        <v>0.87152513899444017</v>
      </c>
      <c r="S66" s="334">
        <f t="shared" ref="S66" si="39">S54/S42</f>
        <v>0.87754655941243331</v>
      </c>
      <c r="T66" s="335">
        <f t="shared" si="38"/>
        <v>0.86902961842924487</v>
      </c>
    </row>
    <row r="67" spans="1:20" x14ac:dyDescent="0.2">
      <c r="A67" s="329" t="s">
        <v>74</v>
      </c>
      <c r="B67" s="330" t="s">
        <v>21</v>
      </c>
      <c r="C67" s="330" t="s">
        <v>21</v>
      </c>
      <c r="D67" s="330">
        <v>0.33125070998523232</v>
      </c>
      <c r="E67" s="330">
        <v>0.59425558989274674</v>
      </c>
      <c r="F67" s="330">
        <f t="shared" si="31"/>
        <v>0.71246768741300459</v>
      </c>
      <c r="G67" s="331">
        <f t="shared" si="32"/>
        <v>0.7292888563049853</v>
      </c>
      <c r="H67" s="330">
        <f t="shared" si="32"/>
        <v>0.71189077082613206</v>
      </c>
      <c r="I67" s="330">
        <f t="shared" si="32"/>
        <v>0.77841467409105802</v>
      </c>
      <c r="J67" s="332">
        <f t="shared" si="32"/>
        <v>0.77722853847421325</v>
      </c>
      <c r="K67" s="333">
        <v>0.8381729712760948</v>
      </c>
      <c r="L67" s="334">
        <v>0.79217465267933085</v>
      </c>
      <c r="M67" s="334">
        <f t="shared" si="33"/>
        <v>0.74880350061534251</v>
      </c>
      <c r="N67" s="334">
        <f t="shared" si="33"/>
        <v>0.77820677820677819</v>
      </c>
      <c r="O67" s="334">
        <f t="shared" si="33"/>
        <v>0.78994614003590669</v>
      </c>
      <c r="P67" s="334">
        <f t="shared" ref="P67:Q67" si="40">P55/P43</f>
        <v>0.77012770682953913</v>
      </c>
      <c r="Q67" s="334">
        <f t="shared" si="40"/>
        <v>0.77579425113464451</v>
      </c>
      <c r="R67" s="334">
        <f t="shared" ref="R67:T67" si="41">R55/R43</f>
        <v>0.78159821712830313</v>
      </c>
      <c r="S67" s="334">
        <f t="shared" ref="S67" si="42">S55/S43</f>
        <v>0.85709330558446062</v>
      </c>
      <c r="T67" s="335">
        <f t="shared" si="41"/>
        <v>0.86017088399605657</v>
      </c>
    </row>
    <row r="68" spans="1:20" x14ac:dyDescent="0.2">
      <c r="A68" s="329" t="s">
        <v>75</v>
      </c>
      <c r="B68" s="330" t="s">
        <v>21</v>
      </c>
      <c r="C68" s="330" t="s">
        <v>21</v>
      </c>
      <c r="D68" s="330">
        <v>0.33125070998523232</v>
      </c>
      <c r="E68" s="330">
        <v>0.38018406999204635</v>
      </c>
      <c r="F68" s="330">
        <f t="shared" si="31"/>
        <v>0.44090140845070425</v>
      </c>
      <c r="G68" s="331">
        <f t="shared" si="32"/>
        <v>0.39874004076338709</v>
      </c>
      <c r="H68" s="330">
        <f t="shared" si="32"/>
        <v>0.41876347951114307</v>
      </c>
      <c r="I68" s="330">
        <f t="shared" si="32"/>
        <v>0.45429895915332807</v>
      </c>
      <c r="J68" s="332">
        <f t="shared" si="32"/>
        <v>0.45586905407849521</v>
      </c>
      <c r="K68" s="333">
        <v>0.50266311584553924</v>
      </c>
      <c r="L68" s="334">
        <v>0.51835548903952811</v>
      </c>
      <c r="M68" s="334">
        <f t="shared" si="33"/>
        <v>0.50488860394293955</v>
      </c>
      <c r="N68" s="334">
        <f t="shared" si="33"/>
        <v>0.51248541423570593</v>
      </c>
      <c r="O68" s="334">
        <f t="shared" si="33"/>
        <v>0.47195877828392202</v>
      </c>
      <c r="P68" s="334">
        <f t="shared" ref="P68:Q68" si="43">P56/P44</f>
        <v>0.47048573295578305</v>
      </c>
      <c r="Q68" s="334">
        <f t="shared" si="43"/>
        <v>0.47287180674538859</v>
      </c>
      <c r="R68" s="334">
        <f t="shared" ref="R68:T68" si="44">R56/R44</f>
        <v>0.49156118143459915</v>
      </c>
      <c r="S68" s="334">
        <f t="shared" ref="S68" si="45">S56/S44</f>
        <v>0.51490052781161189</v>
      </c>
      <c r="T68" s="335">
        <f t="shared" si="44"/>
        <v>0.55459671907040331</v>
      </c>
    </row>
    <row r="69" spans="1:20" x14ac:dyDescent="0.2">
      <c r="A69" s="329" t="s">
        <v>76</v>
      </c>
      <c r="B69" s="330" t="s">
        <v>21</v>
      </c>
      <c r="C69" s="330" t="s">
        <v>21</v>
      </c>
      <c r="D69" s="330">
        <v>0.27168914178813625</v>
      </c>
      <c r="E69" s="330">
        <v>0.31223519239083442</v>
      </c>
      <c r="F69" s="330">
        <f t="shared" si="31"/>
        <v>0.4122185482601165</v>
      </c>
      <c r="G69" s="331">
        <f t="shared" si="32"/>
        <v>0.42819508475163781</v>
      </c>
      <c r="H69" s="330">
        <f t="shared" si="32"/>
        <v>0.45465561851111913</v>
      </c>
      <c r="I69" s="330">
        <f t="shared" si="32"/>
        <v>0.49938242280285033</v>
      </c>
      <c r="J69" s="332">
        <f t="shared" si="32"/>
        <v>0.51178567322065083</v>
      </c>
      <c r="K69" s="333">
        <v>0.57537418808246255</v>
      </c>
      <c r="L69" s="334">
        <v>0.56474228528419701</v>
      </c>
      <c r="M69" s="334">
        <f t="shared" si="33"/>
        <v>0.54980482462298852</v>
      </c>
      <c r="N69" s="334">
        <f t="shared" si="33"/>
        <v>0.534383995812858</v>
      </c>
      <c r="O69" s="334">
        <f t="shared" si="33"/>
        <v>0.55273015873015874</v>
      </c>
      <c r="P69" s="334">
        <f t="shared" ref="P69:Q69" si="46">P57/P45</f>
        <v>0.53821496544125014</v>
      </c>
      <c r="Q69" s="334">
        <f t="shared" si="46"/>
        <v>0.56733794839521712</v>
      </c>
      <c r="R69" s="334">
        <f t="shared" ref="R69:T69" si="47">R57/R45</f>
        <v>0.58872037129123156</v>
      </c>
      <c r="S69" s="334">
        <f t="shared" ref="S69" si="48">S57/S45</f>
        <v>0.60623003194888181</v>
      </c>
      <c r="T69" s="335">
        <f t="shared" si="47"/>
        <v>0.6166666666666667</v>
      </c>
    </row>
    <row r="70" spans="1:20" x14ac:dyDescent="0.2">
      <c r="A70" s="329" t="s">
        <v>77</v>
      </c>
      <c r="B70" s="330" t="s">
        <v>21</v>
      </c>
      <c r="C70" s="330" t="s">
        <v>21</v>
      </c>
      <c r="D70" s="330">
        <v>0.43473098330241189</v>
      </c>
      <c r="E70" s="330">
        <v>0.50061756986259076</v>
      </c>
      <c r="F70" s="330">
        <f t="shared" si="31"/>
        <v>0.60428438896854175</v>
      </c>
      <c r="G70" s="331">
        <f t="shared" si="32"/>
        <v>0.5772651067862089</v>
      </c>
      <c r="H70" s="330">
        <f t="shared" si="32"/>
        <v>0.610938831146703</v>
      </c>
      <c r="I70" s="330">
        <f t="shared" si="32"/>
        <v>0.66802042951203</v>
      </c>
      <c r="J70" s="332">
        <f t="shared" si="32"/>
        <v>0.7126710967228943</v>
      </c>
      <c r="K70" s="333">
        <v>0.73148910186635518</v>
      </c>
      <c r="L70" s="334">
        <v>0.73772639691714836</v>
      </c>
      <c r="M70" s="334">
        <f t="shared" si="33"/>
        <v>0.70005095541401274</v>
      </c>
      <c r="N70" s="334">
        <f t="shared" si="33"/>
        <v>0.696559621089887</v>
      </c>
      <c r="O70" s="334">
        <f t="shared" si="33"/>
        <v>0.70065113587035166</v>
      </c>
      <c r="P70" s="334">
        <f t="shared" ref="P70:Q70" si="49">P58/P46</f>
        <v>0.7442107006791453</v>
      </c>
      <c r="Q70" s="334">
        <f t="shared" si="49"/>
        <v>0.75642343268242551</v>
      </c>
      <c r="R70" s="334">
        <f t="shared" ref="R70:T70" si="50">R58/R46</f>
        <v>0.78979678238780693</v>
      </c>
      <c r="S70" s="334">
        <f t="shared" ref="S70" si="51">S58/S46</f>
        <v>0.80802688809806245</v>
      </c>
      <c r="T70" s="335">
        <f t="shared" si="50"/>
        <v>0.82568250758341755</v>
      </c>
    </row>
    <row r="71" spans="1:20" x14ac:dyDescent="0.2">
      <c r="A71" s="329" t="s">
        <v>78</v>
      </c>
      <c r="B71" s="330" t="s">
        <v>21</v>
      </c>
      <c r="C71" s="330" t="s">
        <v>21</v>
      </c>
      <c r="D71" s="330">
        <v>0.20886649874055416</v>
      </c>
      <c r="E71" s="330">
        <v>0.24509208662214127</v>
      </c>
      <c r="F71" s="330">
        <f t="shared" si="31"/>
        <v>0.27266387726638774</v>
      </c>
      <c r="G71" s="331">
        <f t="shared" si="32"/>
        <v>0.20647100704058224</v>
      </c>
      <c r="H71" s="330">
        <f t="shared" si="32"/>
        <v>0.26576941786930436</v>
      </c>
      <c r="I71" s="330">
        <f t="shared" si="32"/>
        <v>0.27795268507690923</v>
      </c>
      <c r="J71" s="332">
        <f t="shared" si="32"/>
        <v>0.31472166331321261</v>
      </c>
      <c r="K71" s="333">
        <v>0.36116433981202667</v>
      </c>
      <c r="L71" s="334">
        <v>0.35932997118155618</v>
      </c>
      <c r="M71" s="334">
        <f t="shared" si="33"/>
        <v>0.36090953072085147</v>
      </c>
      <c r="N71" s="334">
        <f t="shared" si="33"/>
        <v>0.34206725809779243</v>
      </c>
      <c r="O71" s="334">
        <f t="shared" si="33"/>
        <v>0.3618924326232788</v>
      </c>
      <c r="P71" s="334">
        <f t="shared" ref="P71:Q71" si="52">P59/P47</f>
        <v>0.40490124359912216</v>
      </c>
      <c r="Q71" s="334">
        <f t="shared" si="52"/>
        <v>0.44519921619856301</v>
      </c>
      <c r="R71" s="334">
        <f t="shared" ref="R71:T71" si="53">R59/R47</f>
        <v>0.49279835390946503</v>
      </c>
      <c r="S71" s="334">
        <f t="shared" ref="S71" si="54">S59/S47</f>
        <v>0.51479944674965417</v>
      </c>
      <c r="T71" s="335">
        <f t="shared" si="53"/>
        <v>0.5812166823455629</v>
      </c>
    </row>
    <row r="72" spans="1:20" x14ac:dyDescent="0.2">
      <c r="A72" s="329" t="s">
        <v>79</v>
      </c>
      <c r="B72" s="330" t="s">
        <v>21</v>
      </c>
      <c r="C72" s="330" t="s">
        <v>21</v>
      </c>
      <c r="D72" s="330">
        <v>0.33474703497973279</v>
      </c>
      <c r="E72" s="330">
        <v>0.38571523134970542</v>
      </c>
      <c r="F72" s="330">
        <f t="shared" si="31"/>
        <v>0.47022137782917561</v>
      </c>
      <c r="G72" s="331">
        <f t="shared" si="32"/>
        <v>0.4416878565047076</v>
      </c>
      <c r="H72" s="330">
        <f t="shared" si="32"/>
        <v>0.50481379207403543</v>
      </c>
      <c r="I72" s="330">
        <f t="shared" si="32"/>
        <v>0.49354554789496846</v>
      </c>
      <c r="J72" s="332">
        <f t="shared" si="32"/>
        <v>0.49468611789557065</v>
      </c>
      <c r="K72" s="333">
        <v>0.53739019445904346</v>
      </c>
      <c r="L72" s="334">
        <v>0.54204476709013916</v>
      </c>
      <c r="M72" s="334">
        <f t="shared" si="33"/>
        <v>0.52836841919672772</v>
      </c>
      <c r="N72" s="334">
        <f t="shared" si="33"/>
        <v>0.46154851355766091</v>
      </c>
      <c r="O72" s="334">
        <f t="shared" si="33"/>
        <v>0.46118705035971225</v>
      </c>
      <c r="P72" s="334">
        <f t="shared" ref="P72:Q72" si="55">P60/P48</f>
        <v>0.47298268018197781</v>
      </c>
      <c r="Q72" s="334">
        <f t="shared" si="55"/>
        <v>0.47472916396909665</v>
      </c>
      <c r="R72" s="334">
        <f t="shared" ref="R72:T72" si="56">R60/R48</f>
        <v>0.48292138253057909</v>
      </c>
      <c r="S72" s="334">
        <f t="shared" ref="S72" si="57">S60/S48</f>
        <v>0.52681515765114262</v>
      </c>
      <c r="T72" s="335">
        <f t="shared" si="56"/>
        <v>0.5967971310208372</v>
      </c>
    </row>
    <row r="73" spans="1:20" x14ac:dyDescent="0.2">
      <c r="A73" s="329" t="s">
        <v>80</v>
      </c>
      <c r="B73" s="330" t="s">
        <v>21</v>
      </c>
      <c r="C73" s="330" t="s">
        <v>21</v>
      </c>
      <c r="D73" s="330">
        <v>0.18720465285350782</v>
      </c>
      <c r="E73" s="330">
        <v>0.20182214299861359</v>
      </c>
      <c r="F73" s="330">
        <f t="shared" si="31"/>
        <v>0.26586102719033233</v>
      </c>
      <c r="G73" s="331">
        <f t="shared" si="32"/>
        <v>0.30766409974330766</v>
      </c>
      <c r="H73" s="330">
        <f t="shared" si="32"/>
        <v>0.33901313454029108</v>
      </c>
      <c r="I73" s="330">
        <f t="shared" si="32"/>
        <v>0.37148217636022512</v>
      </c>
      <c r="J73" s="332">
        <f t="shared" si="32"/>
        <v>0.39086212463674525</v>
      </c>
      <c r="K73" s="333">
        <v>0.43124674874284724</v>
      </c>
      <c r="L73" s="334">
        <v>0.41493383742911155</v>
      </c>
      <c r="M73" s="334">
        <f t="shared" si="33"/>
        <v>0.41127117302517019</v>
      </c>
      <c r="N73" s="334">
        <f t="shared" si="33"/>
        <v>0.41079961771264734</v>
      </c>
      <c r="O73" s="334">
        <f t="shared" si="33"/>
        <v>0.41877870386120086</v>
      </c>
      <c r="P73" s="334">
        <f t="shared" ref="P73:Q73" si="58">P61/P49</f>
        <v>0.42751000190512478</v>
      </c>
      <c r="Q73" s="334">
        <f t="shared" si="58"/>
        <v>0.44561752988047809</v>
      </c>
      <c r="R73" s="334">
        <f t="shared" ref="R73:T73" si="59">R61/R49</f>
        <v>0.44148056244830436</v>
      </c>
      <c r="S73" s="334">
        <f t="shared" ref="S73" si="60">S61/S49</f>
        <v>0.45838110525108922</v>
      </c>
      <c r="T73" s="335">
        <f t="shared" si="59"/>
        <v>0.50304809212011736</v>
      </c>
    </row>
    <row r="74" spans="1:20" x14ac:dyDescent="0.2">
      <c r="A74" s="267" t="s">
        <v>81</v>
      </c>
      <c r="B74" s="336" t="s">
        <v>21</v>
      </c>
      <c r="C74" s="336" t="s">
        <v>21</v>
      </c>
      <c r="D74" s="336" t="s">
        <v>69</v>
      </c>
      <c r="E74" s="336" t="s">
        <v>69</v>
      </c>
      <c r="F74" s="337" t="s">
        <v>67</v>
      </c>
      <c r="G74" s="337" t="s">
        <v>67</v>
      </c>
      <c r="H74" s="336" t="s">
        <v>67</v>
      </c>
      <c r="I74" s="336" t="s">
        <v>67</v>
      </c>
      <c r="J74" s="338" t="s">
        <v>67</v>
      </c>
      <c r="K74" s="339" t="s">
        <v>67</v>
      </c>
      <c r="L74" s="340" t="s">
        <v>67</v>
      </c>
      <c r="M74" s="340" t="s">
        <v>67</v>
      </c>
      <c r="N74" s="340" t="s">
        <v>67</v>
      </c>
      <c r="O74" s="340" t="s">
        <v>67</v>
      </c>
      <c r="P74" s="340" t="s">
        <v>67</v>
      </c>
      <c r="Q74" s="340" t="s">
        <v>67</v>
      </c>
      <c r="R74" s="340" t="s">
        <v>67</v>
      </c>
      <c r="S74" s="340" t="s">
        <v>67</v>
      </c>
      <c r="T74" s="341" t="s">
        <v>67</v>
      </c>
    </row>
    <row r="75" spans="1:20" ht="13.5" thickBot="1" x14ac:dyDescent="0.25">
      <c r="A75" s="273" t="s">
        <v>48</v>
      </c>
      <c r="B75" s="342" t="s">
        <v>21</v>
      </c>
      <c r="C75" s="343" t="s">
        <v>21</v>
      </c>
      <c r="D75" s="343">
        <f t="shared" ref="D75:J75" si="61">D63/D51</f>
        <v>0.58175063254652015</v>
      </c>
      <c r="E75" s="343">
        <f t="shared" si="61"/>
        <v>0.62194661358648495</v>
      </c>
      <c r="F75" s="343">
        <f t="shared" si="61"/>
        <v>0.64929635298070099</v>
      </c>
      <c r="G75" s="343">
        <f t="shared" si="61"/>
        <v>0.63336770537293663</v>
      </c>
      <c r="H75" s="342">
        <f t="shared" si="61"/>
        <v>0.66815319176998156</v>
      </c>
      <c r="I75" s="342">
        <f t="shared" si="61"/>
        <v>0.70068594443220789</v>
      </c>
      <c r="J75" s="344">
        <f t="shared" si="61"/>
        <v>0.71869315072545226</v>
      </c>
      <c r="K75" s="342">
        <v>0.76407622909870987</v>
      </c>
      <c r="L75" s="345">
        <v>0.77189672947421528</v>
      </c>
      <c r="M75" s="345">
        <f t="shared" ref="M75:R75" si="62">M63/M51</f>
        <v>0.75987349363184653</v>
      </c>
      <c r="N75" s="345">
        <f t="shared" si="62"/>
        <v>0.74498133256749</v>
      </c>
      <c r="O75" s="345">
        <f t="shared" si="62"/>
        <v>0.75164463619117561</v>
      </c>
      <c r="P75" s="345">
        <f t="shared" si="62"/>
        <v>0.75718694956611665</v>
      </c>
      <c r="Q75" s="345">
        <f t="shared" si="62"/>
        <v>0.76107529585001887</v>
      </c>
      <c r="R75" s="345">
        <f t="shared" si="62"/>
        <v>0.77629976218557262</v>
      </c>
      <c r="S75" s="345">
        <f t="shared" ref="S75" si="63">S63/S51</f>
        <v>0.79481864183356721</v>
      </c>
      <c r="T75" s="346">
        <f t="shared" ref="T75" si="64">T63/T51</f>
        <v>0.82430850123718624</v>
      </c>
    </row>
    <row r="76" spans="1:20" ht="13.5" thickBot="1" x14ac:dyDescent="0.25">
      <c r="A76" s="280" t="s">
        <v>86</v>
      </c>
      <c r="B76" s="281"/>
      <c r="C76" s="281"/>
      <c r="D76" s="281"/>
      <c r="E76" s="281"/>
      <c r="F76" s="281"/>
      <c r="G76" s="281"/>
      <c r="H76" s="281"/>
      <c r="I76" s="281"/>
      <c r="J76" s="282"/>
      <c r="K76" s="281"/>
      <c r="L76" s="281"/>
      <c r="M76" s="281"/>
      <c r="N76" s="281"/>
      <c r="O76" s="281"/>
      <c r="P76" s="281"/>
      <c r="Q76" s="281"/>
      <c r="R76" s="281"/>
      <c r="S76" s="281"/>
      <c r="T76" s="287"/>
    </row>
    <row r="77" spans="1:20" x14ac:dyDescent="0.2">
      <c r="A77" s="322" t="s">
        <v>71</v>
      </c>
      <c r="B77" s="327">
        <f t="shared" ref="B77:R85" si="65">+B17/B$27</f>
        <v>0.13139350714631209</v>
      </c>
      <c r="C77" s="327">
        <f t="shared" si="65"/>
        <v>9.9386384500169109E-2</v>
      </c>
      <c r="D77" s="327">
        <f t="shared" si="65"/>
        <v>0.1302919392489697</v>
      </c>
      <c r="E77" s="327">
        <f t="shared" si="65"/>
        <v>0.11723947040642155</v>
      </c>
      <c r="F77" s="327">
        <f t="shared" si="65"/>
        <v>0.12340573976227548</v>
      </c>
      <c r="G77" s="327">
        <f t="shared" si="65"/>
        <v>0.11423016629268742</v>
      </c>
      <c r="H77" s="327">
        <f t="shared" si="65"/>
        <v>0.10921380827863726</v>
      </c>
      <c r="I77" s="327">
        <f t="shared" si="65"/>
        <v>0.10744886928384349</v>
      </c>
      <c r="J77" s="327">
        <f t="shared" si="65"/>
        <v>0.10390680881501413</v>
      </c>
      <c r="K77" s="327">
        <f t="shared" si="65"/>
        <v>0.10622593721778219</v>
      </c>
      <c r="L77" s="327">
        <f t="shared" si="65"/>
        <v>0.10808211703723912</v>
      </c>
      <c r="M77" s="327">
        <f t="shared" si="65"/>
        <v>0.11444471006985948</v>
      </c>
      <c r="N77" s="327">
        <f t="shared" si="65"/>
        <v>0.11224292006710647</v>
      </c>
      <c r="O77" s="327">
        <f t="shared" si="65"/>
        <v>0.11495597430771194</v>
      </c>
      <c r="P77" s="327">
        <f t="shared" si="65"/>
        <v>0.12022464378021258</v>
      </c>
      <c r="Q77" s="327">
        <f t="shared" si="65"/>
        <v>0.12372598779576384</v>
      </c>
      <c r="R77" s="327">
        <f t="shared" si="65"/>
        <v>0.1183450788289284</v>
      </c>
      <c r="S77" s="327">
        <f t="shared" ref="S77" si="66">+S17/S$27</f>
        <v>0.12264692434162525</v>
      </c>
      <c r="T77" s="328">
        <f t="shared" ref="T77" si="67">+T17/T$27</f>
        <v>0.12719647339741627</v>
      </c>
    </row>
    <row r="78" spans="1:20" x14ac:dyDescent="0.2">
      <c r="A78" s="329" t="s">
        <v>73</v>
      </c>
      <c r="B78" s="334">
        <f t="shared" si="65"/>
        <v>0.25958136932254666</v>
      </c>
      <c r="C78" s="334">
        <f t="shared" si="65"/>
        <v>0.19950717495289172</v>
      </c>
      <c r="D78" s="334">
        <f t="shared" si="65"/>
        <v>0.25872023209122263</v>
      </c>
      <c r="E78" s="334">
        <f t="shared" si="65"/>
        <v>0.25891036582552934</v>
      </c>
      <c r="F78" s="334">
        <f t="shared" si="65"/>
        <v>0.2765823484867822</v>
      </c>
      <c r="G78" s="334">
        <f t="shared" si="65"/>
        <v>0.25138321089355425</v>
      </c>
      <c r="H78" s="334">
        <f t="shared" si="65"/>
        <v>0.24438030790562384</v>
      </c>
      <c r="I78" s="334">
        <f t="shared" si="65"/>
        <v>0.2432436354138704</v>
      </c>
      <c r="J78" s="334">
        <f t="shared" si="65"/>
        <v>0.23387717565312169</v>
      </c>
      <c r="K78" s="334">
        <f t="shared" si="65"/>
        <v>0.23814600294694815</v>
      </c>
      <c r="L78" s="334">
        <f t="shared" si="65"/>
        <v>0.23383576592552174</v>
      </c>
      <c r="M78" s="334">
        <f t="shared" si="65"/>
        <v>0.23766169947140542</v>
      </c>
      <c r="N78" s="334">
        <f t="shared" si="65"/>
        <v>0.23796728893879543</v>
      </c>
      <c r="O78" s="334">
        <f t="shared" si="65"/>
        <v>0.2450905327037872</v>
      </c>
      <c r="P78" s="334">
        <f t="shared" si="65"/>
        <v>0.25002048310330188</v>
      </c>
      <c r="Q78" s="334">
        <f t="shared" si="65"/>
        <v>0.24321416545527713</v>
      </c>
      <c r="R78" s="334">
        <f t="shared" si="65"/>
        <v>0.23701732202700432</v>
      </c>
      <c r="S78" s="334">
        <f t="shared" ref="S78" si="68">+S18/S$27</f>
        <v>0.23709274158243426</v>
      </c>
      <c r="T78" s="335">
        <f t="shared" ref="T78" si="69">+T18/T$27</f>
        <v>0.24192330455723587</v>
      </c>
    </row>
    <row r="79" spans="1:20" x14ac:dyDescent="0.2">
      <c r="A79" s="329" t="s">
        <v>74</v>
      </c>
      <c r="B79" s="334">
        <f t="shared" si="65"/>
        <v>4.7107806409393112E-2</v>
      </c>
      <c r="C79" s="334">
        <f t="shared" si="65"/>
        <v>3.8082813934386624E-2</v>
      </c>
      <c r="D79" s="334">
        <f t="shared" si="65"/>
        <v>4.2835048080156007E-2</v>
      </c>
      <c r="E79" s="334">
        <f t="shared" si="65"/>
        <v>5.0726576555796467E-2</v>
      </c>
      <c r="F79" s="334">
        <f t="shared" si="65"/>
        <v>4.9348682475261849E-2</v>
      </c>
      <c r="G79" s="334">
        <f t="shared" si="65"/>
        <v>4.7966679986475275E-2</v>
      </c>
      <c r="H79" s="334">
        <f t="shared" si="65"/>
        <v>4.8461602224516398E-2</v>
      </c>
      <c r="I79" s="334">
        <f t="shared" si="65"/>
        <v>4.8029136708915864E-2</v>
      </c>
      <c r="J79" s="334">
        <f t="shared" si="65"/>
        <v>4.5158213835621103E-2</v>
      </c>
      <c r="K79" s="334">
        <f t="shared" si="65"/>
        <v>4.6682646277950171E-2</v>
      </c>
      <c r="L79" s="334">
        <f t="shared" si="65"/>
        <v>5.1664165870958942E-2</v>
      </c>
      <c r="M79" s="334">
        <f t="shared" si="65"/>
        <v>5.3350864610725954E-2</v>
      </c>
      <c r="N79" s="334">
        <f t="shared" si="65"/>
        <v>5.1840414937204655E-2</v>
      </c>
      <c r="O79" s="334">
        <f t="shared" si="65"/>
        <v>6.2054248727437721E-2</v>
      </c>
      <c r="P79" s="334">
        <f t="shared" si="65"/>
        <v>6.1158822258802148E-2</v>
      </c>
      <c r="Q79" s="334">
        <f t="shared" si="65"/>
        <v>6.254876356140307E-2</v>
      </c>
      <c r="R79" s="334">
        <f t="shared" si="65"/>
        <v>6.4362957919588307E-2</v>
      </c>
      <c r="S79" s="334">
        <f t="shared" ref="S79" si="70">+S19/S$27</f>
        <v>6.4276055296669937E-2</v>
      </c>
      <c r="T79" s="335">
        <f t="shared" ref="T79" si="71">+T19/T$27</f>
        <v>6.821567787097696E-2</v>
      </c>
    </row>
    <row r="80" spans="1:20" x14ac:dyDescent="0.2">
      <c r="A80" s="329" t="s">
        <v>75</v>
      </c>
      <c r="B80" s="334">
        <f t="shared" si="65"/>
        <v>6.660723261791178E-2</v>
      </c>
      <c r="C80" s="334">
        <f t="shared" si="65"/>
        <v>6.982654490989032E-2</v>
      </c>
      <c r="D80" s="334">
        <f t="shared" si="65"/>
        <v>8.3854481877479653E-2</v>
      </c>
      <c r="E80" s="334">
        <f t="shared" si="65"/>
        <v>8.1099783180329385E-2</v>
      </c>
      <c r="F80" s="334">
        <f t="shared" si="65"/>
        <v>8.7576894606529343E-2</v>
      </c>
      <c r="G80" s="334">
        <f t="shared" si="65"/>
        <v>9.4212030860971935E-2</v>
      </c>
      <c r="H80" s="334">
        <f t="shared" si="65"/>
        <v>9.5529113885895578E-2</v>
      </c>
      <c r="I80" s="334">
        <f t="shared" si="65"/>
        <v>9.427350489360313E-2</v>
      </c>
      <c r="J80" s="334">
        <f t="shared" si="65"/>
        <v>8.5868047276814602E-2</v>
      </c>
      <c r="K80" s="334">
        <f t="shared" si="65"/>
        <v>8.1618241201594346E-2</v>
      </c>
      <c r="L80" s="334">
        <f t="shared" si="65"/>
        <v>8.7873414268176242E-2</v>
      </c>
      <c r="M80" s="334">
        <f t="shared" si="65"/>
        <v>9.401147501792971E-2</v>
      </c>
      <c r="N80" s="334">
        <f t="shared" si="65"/>
        <v>9.7685361566174064E-2</v>
      </c>
      <c r="O80" s="334">
        <f t="shared" si="65"/>
        <v>0.10830603882201142</v>
      </c>
      <c r="P80" s="334">
        <f t="shared" si="65"/>
        <v>0.11821357545602837</v>
      </c>
      <c r="Q80" s="334">
        <f t="shared" si="65"/>
        <v>0.12399701053703567</v>
      </c>
      <c r="R80" s="334">
        <f t="shared" si="65"/>
        <v>0.13341232437020858</v>
      </c>
      <c r="S80" s="334">
        <f t="shared" ref="S80" si="72">+S20/S$27</f>
        <v>0.14159799982488738</v>
      </c>
      <c r="T80" s="335">
        <f t="shared" ref="T80" si="73">+T20/T$27</f>
        <v>0.14115594195799913</v>
      </c>
    </row>
    <row r="81" spans="1:20" x14ac:dyDescent="0.2">
      <c r="A81" s="329" t="s">
        <v>76</v>
      </c>
      <c r="B81" s="334">
        <f t="shared" si="65"/>
        <v>0.24490937888257666</v>
      </c>
      <c r="C81" s="334">
        <f t="shared" si="65"/>
        <v>0.2778856839155433</v>
      </c>
      <c r="D81" s="334">
        <f t="shared" si="65"/>
        <v>0.24486776756294609</v>
      </c>
      <c r="E81" s="334">
        <f t="shared" si="65"/>
        <v>0.24686072796051114</v>
      </c>
      <c r="F81" s="334">
        <f t="shared" si="65"/>
        <v>0.24445465451668069</v>
      </c>
      <c r="G81" s="334">
        <f t="shared" si="65"/>
        <v>0.25173669812190697</v>
      </c>
      <c r="H81" s="334">
        <f t="shared" si="65"/>
        <v>0.26088332592330243</v>
      </c>
      <c r="I81" s="334">
        <f t="shared" si="65"/>
        <v>0.2635145429614098</v>
      </c>
      <c r="J81" s="334">
        <f t="shared" si="65"/>
        <v>0.27288395381314079</v>
      </c>
      <c r="K81" s="334">
        <f t="shared" si="65"/>
        <v>0.27530199428264901</v>
      </c>
      <c r="L81" s="334">
        <f t="shared" si="65"/>
        <v>0.27842040649297506</v>
      </c>
      <c r="M81" s="334">
        <f t="shared" si="65"/>
        <v>0.27043987568730576</v>
      </c>
      <c r="N81" s="334">
        <f t="shared" si="65"/>
        <v>0.26464946227934738</v>
      </c>
      <c r="O81" s="334">
        <f t="shared" si="65"/>
        <v>0.26153813433153261</v>
      </c>
      <c r="P81" s="334">
        <f t="shared" si="65"/>
        <v>0.26345739886933267</v>
      </c>
      <c r="Q81" s="334">
        <f t="shared" si="65"/>
        <v>0.24918487857359911</v>
      </c>
      <c r="R81" s="334">
        <f t="shared" si="65"/>
        <v>0.25313679891770491</v>
      </c>
      <c r="S81" s="334">
        <f t="shared" ref="S81" si="74">+S21/S$27</f>
        <v>0.25958498312109035</v>
      </c>
      <c r="T81" s="335">
        <f t="shared" ref="T81" si="75">+T21/T$27</f>
        <v>0.25525010714504376</v>
      </c>
    </row>
    <row r="82" spans="1:20" x14ac:dyDescent="0.2">
      <c r="A82" s="329" t="s">
        <v>77</v>
      </c>
      <c r="B82" s="334">
        <f t="shared" si="65"/>
        <v>0.25109304906154267</v>
      </c>
      <c r="C82" s="334">
        <f t="shared" si="65"/>
        <v>0.23523215925013288</v>
      </c>
      <c r="D82" s="334">
        <f t="shared" si="65"/>
        <v>0.25760588681710328</v>
      </c>
      <c r="E82" s="334">
        <f t="shared" si="65"/>
        <v>0.23829865756331595</v>
      </c>
      <c r="F82" s="334">
        <f t="shared" si="65"/>
        <v>0.23307042397324962</v>
      </c>
      <c r="G82" s="334">
        <f t="shared" si="65"/>
        <v>0.24007161958626624</v>
      </c>
      <c r="H82" s="334">
        <f t="shared" si="65"/>
        <v>0.25471164932217055</v>
      </c>
      <c r="I82" s="334">
        <f t="shared" si="65"/>
        <v>0.26888335884730075</v>
      </c>
      <c r="J82" s="334">
        <f t="shared" si="65"/>
        <v>0.27182805953881262</v>
      </c>
      <c r="K82" s="334">
        <f t="shared" si="65"/>
        <v>0.28543976750344602</v>
      </c>
      <c r="L82" s="334">
        <f t="shared" si="65"/>
        <v>0.29278406765789117</v>
      </c>
      <c r="M82" s="334">
        <f t="shared" si="65"/>
        <v>0.28647701012032833</v>
      </c>
      <c r="N82" s="334">
        <f t="shared" si="65"/>
        <v>0.27942758984847571</v>
      </c>
      <c r="O82" s="334">
        <f t="shared" si="65"/>
        <v>0.26791866944574416</v>
      </c>
      <c r="P82" s="334">
        <f t="shared" si="65"/>
        <v>0.25151016334343834</v>
      </c>
      <c r="Q82" s="334">
        <f t="shared" si="65"/>
        <v>0.23275925789045754</v>
      </c>
      <c r="R82" s="334">
        <f t="shared" si="65"/>
        <v>0.23338314484539274</v>
      </c>
      <c r="S82" s="334">
        <f t="shared" ref="S82" si="76">+S22/S$27</f>
        <v>0.22036948760105457</v>
      </c>
      <c r="T82" s="335">
        <f t="shared" ref="T82" si="77">+T22/T$27</f>
        <v>0.2160248168329966</v>
      </c>
    </row>
    <row r="83" spans="1:20" x14ac:dyDescent="0.2">
      <c r="A83" s="329" t="s">
        <v>78</v>
      </c>
      <c r="B83" s="334">
        <f t="shared" si="65"/>
        <v>9.376037329640835E-2</v>
      </c>
      <c r="C83" s="334">
        <f t="shared" si="65"/>
        <v>0.11508914335410929</v>
      </c>
      <c r="D83" s="334">
        <f t="shared" si="65"/>
        <v>9.5151637415103227E-2</v>
      </c>
      <c r="E83" s="334">
        <f t="shared" si="65"/>
        <v>9.0907413387461361E-2</v>
      </c>
      <c r="F83" s="334">
        <f t="shared" si="65"/>
        <v>9.418791637950838E-2</v>
      </c>
      <c r="G83" s="334">
        <f t="shared" si="65"/>
        <v>0.10630744167460732</v>
      </c>
      <c r="H83" s="334">
        <f t="shared" si="65"/>
        <v>0.10186657422967077</v>
      </c>
      <c r="I83" s="334">
        <f t="shared" si="65"/>
        <v>8.8882923537904571E-2</v>
      </c>
      <c r="J83" s="334">
        <f t="shared" si="65"/>
        <v>8.9212847849041182E-2</v>
      </c>
      <c r="K83" s="334">
        <f t="shared" si="65"/>
        <v>8.3859008222935946E-2</v>
      </c>
      <c r="L83" s="334">
        <f t="shared" si="65"/>
        <v>8.2553539762651756E-2</v>
      </c>
      <c r="M83" s="334">
        <f t="shared" si="65"/>
        <v>7.487980449969453E-2</v>
      </c>
      <c r="N83" s="334">
        <f t="shared" si="65"/>
        <v>7.1618108052107776E-2</v>
      </c>
      <c r="O83" s="334">
        <f t="shared" si="65"/>
        <v>6.5528095622952906E-2</v>
      </c>
      <c r="P83" s="334">
        <f t="shared" si="65"/>
        <v>6.6588706734099529E-2</v>
      </c>
      <c r="Q83" s="334">
        <f t="shared" si="65"/>
        <v>6.8683732886556451E-2</v>
      </c>
      <c r="R83" s="334">
        <f t="shared" si="65"/>
        <v>7.4098308471788707E-2</v>
      </c>
      <c r="S83" s="334">
        <f t="shared" ref="S83" si="78">+S23/S$27</f>
        <v>7.5989143018357644E-2</v>
      </c>
      <c r="T83" s="335">
        <f t="shared" ref="T83" si="79">+T23/T$27</f>
        <v>7.1368803444968265E-2</v>
      </c>
    </row>
    <row r="84" spans="1:20" x14ac:dyDescent="0.2">
      <c r="A84" s="329" t="s">
        <v>79</v>
      </c>
      <c r="B84" s="334">
        <f t="shared" si="65"/>
        <v>0.28737943265774524</v>
      </c>
      <c r="C84" s="334">
        <f t="shared" si="65"/>
        <v>0.28517176402377153</v>
      </c>
      <c r="D84" s="334">
        <f t="shared" si="65"/>
        <v>0.25346551773826337</v>
      </c>
      <c r="E84" s="334">
        <f t="shared" si="65"/>
        <v>0.25061586012824655</v>
      </c>
      <c r="F84" s="334">
        <f t="shared" si="65"/>
        <v>0.23346181007563963</v>
      </c>
      <c r="G84" s="334">
        <f t="shared" si="65"/>
        <v>0.25009989856453446</v>
      </c>
      <c r="H84" s="334">
        <f t="shared" si="65"/>
        <v>0.23016811978628968</v>
      </c>
      <c r="I84" s="334">
        <f t="shared" si="65"/>
        <v>0.2186268890614004</v>
      </c>
      <c r="J84" s="334">
        <f t="shared" si="65"/>
        <v>0.22938110971082121</v>
      </c>
      <c r="K84" s="334">
        <f t="shared" si="65"/>
        <v>0.19984925749129157</v>
      </c>
      <c r="L84" s="334">
        <f t="shared" si="65"/>
        <v>0.19903151002591735</v>
      </c>
      <c r="M84" s="334">
        <f t="shared" si="65"/>
        <v>0.20822376284962946</v>
      </c>
      <c r="N84" s="334">
        <f t="shared" si="65"/>
        <v>0.22660463997112551</v>
      </c>
      <c r="O84" s="334">
        <f t="shared" si="65"/>
        <v>0.21913593375586654</v>
      </c>
      <c r="P84" s="334">
        <f t="shared" si="65"/>
        <v>0.21017153667965172</v>
      </c>
      <c r="Q84" s="334">
        <f t="shared" si="65"/>
        <v>0.21883854436149505</v>
      </c>
      <c r="R84" s="334">
        <f t="shared" si="65"/>
        <v>0.2002157516380324</v>
      </c>
      <c r="S84" s="334">
        <f t="shared" ref="S84" si="80">+S24/S$27</f>
        <v>0.19407341109630222</v>
      </c>
      <c r="T84" s="335">
        <f t="shared" ref="T84" si="81">+T24/T$27</f>
        <v>0.1927896487683422</v>
      </c>
    </row>
    <row r="85" spans="1:20" x14ac:dyDescent="0.2">
      <c r="A85" s="329" t="s">
        <v>80</v>
      </c>
      <c r="B85" s="334">
        <f t="shared" si="65"/>
        <v>6.2377298722484091E-2</v>
      </c>
      <c r="C85" s="334">
        <f t="shared" si="65"/>
        <v>5.6645890708798378E-2</v>
      </c>
      <c r="D85" s="334">
        <f t="shared" si="65"/>
        <v>5.1951545193425361E-2</v>
      </c>
      <c r="E85" s="334">
        <f t="shared" si="65"/>
        <v>4.5891959219449184E-2</v>
      </c>
      <c r="F85" s="334">
        <f t="shared" si="65"/>
        <v>4.7502361079204636E-2</v>
      </c>
      <c r="G85" s="334">
        <f t="shared" si="65"/>
        <v>4.6606522607813602E-2</v>
      </c>
      <c r="H85" s="334">
        <f t="shared" si="65"/>
        <v>4.6690730428098834E-2</v>
      </c>
      <c r="I85" s="334">
        <f t="shared" si="65"/>
        <v>4.6962628688340238E-2</v>
      </c>
      <c r="J85" s="334">
        <f t="shared" si="65"/>
        <v>4.6207295888824551E-2</v>
      </c>
      <c r="K85" s="334">
        <f t="shared" si="65"/>
        <v>4.5385717486810029E-2</v>
      </c>
      <c r="L85" s="334">
        <f t="shared" si="65"/>
        <v>4.7749283863047332E-2</v>
      </c>
      <c r="M85" s="334">
        <f t="shared" si="65"/>
        <v>4.7181714346428663E-2</v>
      </c>
      <c r="N85" s="334">
        <f t="shared" si="65"/>
        <v>4.6760642457540455E-2</v>
      </c>
      <c r="O85" s="334">
        <f t="shared" si="65"/>
        <v>4.682603825485275E-2</v>
      </c>
      <c r="P85" s="334">
        <f t="shared" si="65"/>
        <v>4.4556335982481363E-2</v>
      </c>
      <c r="Q85" s="334">
        <f t="shared" si="65"/>
        <v>4.6492719343632201E-2</v>
      </c>
      <c r="R85" s="334">
        <f t="shared" si="65"/>
        <v>4.8438011194326794E-2</v>
      </c>
      <c r="S85" s="334">
        <f t="shared" ref="S85" si="82">+S25/S$27</f>
        <v>4.8438092829138739E-2</v>
      </c>
      <c r="T85" s="335">
        <f t="shared" ref="T85" si="83">+T25/T$27</f>
        <v>5.2184738464050286E-2</v>
      </c>
    </row>
    <row r="86" spans="1:20" x14ac:dyDescent="0.2">
      <c r="A86" s="267" t="s">
        <v>81</v>
      </c>
      <c r="B86" s="336" t="s">
        <v>67</v>
      </c>
      <c r="C86" s="336" t="s">
        <v>67</v>
      </c>
      <c r="D86" s="336" t="s">
        <v>69</v>
      </c>
      <c r="E86" s="336" t="s">
        <v>69</v>
      </c>
      <c r="F86" s="337" t="s">
        <v>67</v>
      </c>
      <c r="G86" s="337" t="s">
        <v>67</v>
      </c>
      <c r="H86" s="347" t="s">
        <v>69</v>
      </c>
      <c r="I86" s="347" t="s">
        <v>69</v>
      </c>
      <c r="J86" s="348" t="s">
        <v>69</v>
      </c>
      <c r="K86" s="339" t="s">
        <v>69</v>
      </c>
      <c r="L86" s="340" t="s">
        <v>69</v>
      </c>
      <c r="M86" s="340" t="s">
        <v>69</v>
      </c>
      <c r="N86" s="340" t="s">
        <v>69</v>
      </c>
      <c r="O86" s="340" t="s">
        <v>69</v>
      </c>
      <c r="P86" s="340" t="s">
        <v>69</v>
      </c>
      <c r="Q86" s="340" t="s">
        <v>69</v>
      </c>
      <c r="R86" s="340" t="s">
        <v>69</v>
      </c>
      <c r="S86" s="340" t="s">
        <v>69</v>
      </c>
      <c r="T86" s="341" t="s">
        <v>69</v>
      </c>
    </row>
    <row r="87" spans="1:20" ht="13.5" thickBot="1" x14ac:dyDescent="0.25">
      <c r="A87" s="273" t="s">
        <v>48</v>
      </c>
      <c r="B87" s="345">
        <f t="shared" ref="B87:R87" si="84">+B27/B$27</f>
        <v>1</v>
      </c>
      <c r="C87" s="345">
        <f t="shared" si="84"/>
        <v>1</v>
      </c>
      <c r="D87" s="345">
        <f t="shared" si="84"/>
        <v>1</v>
      </c>
      <c r="E87" s="345">
        <f t="shared" si="84"/>
        <v>1</v>
      </c>
      <c r="F87" s="345">
        <f t="shared" si="84"/>
        <v>1</v>
      </c>
      <c r="G87" s="345">
        <f t="shared" si="84"/>
        <v>1</v>
      </c>
      <c r="H87" s="345">
        <f t="shared" si="84"/>
        <v>1</v>
      </c>
      <c r="I87" s="345">
        <f t="shared" si="84"/>
        <v>1</v>
      </c>
      <c r="J87" s="345">
        <f t="shared" si="84"/>
        <v>1</v>
      </c>
      <c r="K87" s="345">
        <f t="shared" si="84"/>
        <v>1</v>
      </c>
      <c r="L87" s="345">
        <f t="shared" si="84"/>
        <v>1</v>
      </c>
      <c r="M87" s="345">
        <f t="shared" si="84"/>
        <v>1</v>
      </c>
      <c r="N87" s="345">
        <f t="shared" si="84"/>
        <v>1</v>
      </c>
      <c r="O87" s="345">
        <f t="shared" si="84"/>
        <v>1</v>
      </c>
      <c r="P87" s="345">
        <f t="shared" si="84"/>
        <v>1</v>
      </c>
      <c r="Q87" s="345">
        <f t="shared" si="84"/>
        <v>1</v>
      </c>
      <c r="R87" s="345">
        <f t="shared" si="84"/>
        <v>1</v>
      </c>
      <c r="S87" s="345">
        <f t="shared" ref="S87" si="85">+S27/S$27</f>
        <v>1</v>
      </c>
      <c r="T87" s="346">
        <f t="shared" ref="T87" si="86">+T27/T$27</f>
        <v>1</v>
      </c>
    </row>
    <row r="88" spans="1:20" ht="13.5" thickBot="1" x14ac:dyDescent="0.25">
      <c r="A88" s="280" t="s">
        <v>87</v>
      </c>
      <c r="B88" s="281"/>
      <c r="C88" s="281"/>
      <c r="D88" s="281"/>
      <c r="E88" s="281"/>
      <c r="F88" s="281"/>
      <c r="G88" s="281"/>
      <c r="H88" s="349"/>
      <c r="I88" s="349"/>
      <c r="J88" s="350"/>
      <c r="K88" s="349"/>
      <c r="L88" s="349"/>
      <c r="M88" s="349"/>
      <c r="N88" s="349"/>
      <c r="O88" s="349"/>
      <c r="P88" s="349"/>
      <c r="Q88" s="349"/>
      <c r="R88" s="349"/>
      <c r="S88" s="349"/>
      <c r="T88" s="287"/>
    </row>
    <row r="89" spans="1:20" x14ac:dyDescent="0.2">
      <c r="A89" s="322" t="s">
        <v>71</v>
      </c>
      <c r="B89" s="327">
        <f t="shared" ref="B89:R97" si="87">B53/B$63</f>
        <v>9.3260204619765849E-2</v>
      </c>
      <c r="C89" s="327">
        <f t="shared" si="87"/>
        <v>0.10310965630114566</v>
      </c>
      <c r="D89" s="327">
        <f t="shared" si="87"/>
        <v>0.11500770755340234</v>
      </c>
      <c r="E89" s="327">
        <f t="shared" si="87"/>
        <v>0.11273777675655271</v>
      </c>
      <c r="F89" s="327">
        <f t="shared" si="87"/>
        <v>0.1131999540071289</v>
      </c>
      <c r="G89" s="327">
        <f t="shared" si="87"/>
        <v>0.10770350761085373</v>
      </c>
      <c r="H89" s="327">
        <f t="shared" si="87"/>
        <v>0.10833384738757634</v>
      </c>
      <c r="I89" s="327">
        <f t="shared" si="87"/>
        <v>0.10316141635045019</v>
      </c>
      <c r="J89" s="327">
        <f t="shared" si="87"/>
        <v>0.10559134031650649</v>
      </c>
      <c r="K89" s="327">
        <f t="shared" si="87"/>
        <v>0.10946904867214093</v>
      </c>
      <c r="L89" s="327">
        <f t="shared" si="87"/>
        <v>0.10862090196932812</v>
      </c>
      <c r="M89" s="327">
        <f t="shared" si="87"/>
        <v>0.11730883057583359</v>
      </c>
      <c r="N89" s="327">
        <f t="shared" si="87"/>
        <v>0.10799818814390763</v>
      </c>
      <c r="O89" s="327">
        <f t="shared" si="87"/>
        <v>0.11159055983554005</v>
      </c>
      <c r="P89" s="327">
        <f t="shared" si="87"/>
        <v>0.11177625541541285</v>
      </c>
      <c r="Q89" s="327">
        <f t="shared" si="87"/>
        <v>0.11926053513283941</v>
      </c>
      <c r="R89" s="327">
        <f t="shared" si="87"/>
        <v>0.11852755846678788</v>
      </c>
      <c r="S89" s="327">
        <f t="shared" ref="S89" si="88">S53/S$63</f>
        <v>0.11442213810905881</v>
      </c>
      <c r="T89" s="328">
        <f t="shared" ref="T89" si="89">T53/T$63</f>
        <v>0.11468314058668239</v>
      </c>
    </row>
    <row r="90" spans="1:20" x14ac:dyDescent="0.2">
      <c r="A90" s="329" t="s">
        <v>73</v>
      </c>
      <c r="B90" s="334">
        <f t="shared" si="87"/>
        <v>0.39390359666701824</v>
      </c>
      <c r="C90" s="334">
        <f t="shared" si="87"/>
        <v>0.34150926704118195</v>
      </c>
      <c r="D90" s="334">
        <f t="shared" si="87"/>
        <v>0.37478895984731703</v>
      </c>
      <c r="E90" s="334">
        <f t="shared" si="87"/>
        <v>0.35086740304288599</v>
      </c>
      <c r="F90" s="334">
        <f t="shared" si="87"/>
        <v>0.35732149016902381</v>
      </c>
      <c r="G90" s="334">
        <f t="shared" si="87"/>
        <v>0.34338848444738584</v>
      </c>
      <c r="H90" s="334">
        <f t="shared" si="87"/>
        <v>0.31998026031706867</v>
      </c>
      <c r="I90" s="334">
        <f t="shared" si="87"/>
        <v>0.30979859442710556</v>
      </c>
      <c r="J90" s="334">
        <f t="shared" si="87"/>
        <v>0.28999032782499534</v>
      </c>
      <c r="K90" s="334">
        <f t="shared" si="87"/>
        <v>0.28194650102882635</v>
      </c>
      <c r="L90" s="334">
        <f t="shared" si="87"/>
        <v>0.2744460968655571</v>
      </c>
      <c r="M90" s="334">
        <f t="shared" si="87"/>
        <v>0.27949867057508199</v>
      </c>
      <c r="N90" s="334">
        <f t="shared" si="87"/>
        <v>0.28153159664999372</v>
      </c>
      <c r="O90" s="334">
        <f t="shared" si="87"/>
        <v>0.28595271776187908</v>
      </c>
      <c r="P90" s="334">
        <f t="shared" si="87"/>
        <v>0.29266705081417932</v>
      </c>
      <c r="Q90" s="334">
        <f t="shared" si="87"/>
        <v>0.28816478693785097</v>
      </c>
      <c r="R90" s="334">
        <f t="shared" si="87"/>
        <v>0.27133819830141215</v>
      </c>
      <c r="S90" s="334">
        <f t="shared" ref="S90" si="90">S54/S$63</f>
        <v>0.26847405941123759</v>
      </c>
      <c r="T90" s="335">
        <f t="shared" ref="T90" si="91">T54/T$63</f>
        <v>0.26186296450156116</v>
      </c>
    </row>
    <row r="91" spans="1:20" x14ac:dyDescent="0.2">
      <c r="A91" s="329" t="s">
        <v>74</v>
      </c>
      <c r="B91" s="334">
        <f t="shared" si="87"/>
        <v>4.577576205041662E-2</v>
      </c>
      <c r="C91" s="334">
        <f t="shared" si="87"/>
        <v>5.0272039633741758E-2</v>
      </c>
      <c r="D91" s="334">
        <f t="shared" si="87"/>
        <v>4.7786831094472584E-2</v>
      </c>
      <c r="E91" s="334">
        <f t="shared" si="87"/>
        <v>5.3636199510906139E-2</v>
      </c>
      <c r="F91" s="334">
        <f t="shared" si="87"/>
        <v>5.1497642865355867E-2</v>
      </c>
      <c r="G91" s="334">
        <f t="shared" si="87"/>
        <v>5.2667107875579086E-2</v>
      </c>
      <c r="H91" s="334">
        <f t="shared" si="87"/>
        <v>5.0817346246375919E-2</v>
      </c>
      <c r="I91" s="334">
        <f t="shared" si="87"/>
        <v>5.3360127534409593E-2</v>
      </c>
      <c r="J91" s="334">
        <f t="shared" si="87"/>
        <v>4.8535797337065006E-2</v>
      </c>
      <c r="K91" s="334">
        <f t="shared" si="87"/>
        <v>5.1345166439106943E-2</v>
      </c>
      <c r="L91" s="334">
        <f t="shared" si="87"/>
        <v>5.2932205476986613E-2</v>
      </c>
      <c r="M91" s="334">
        <f t="shared" si="87"/>
        <v>5.1448274566175296E-2</v>
      </c>
      <c r="N91" s="334">
        <f t="shared" si="87"/>
        <v>5.2447451354555183E-2</v>
      </c>
      <c r="O91" s="334">
        <f t="shared" si="87"/>
        <v>6.2690182269669548E-2</v>
      </c>
      <c r="P91" s="334">
        <f t="shared" si="87"/>
        <v>5.9201400004268302E-2</v>
      </c>
      <c r="Q91" s="334">
        <f t="shared" si="87"/>
        <v>6.0497380963616627E-2</v>
      </c>
      <c r="R91" s="334">
        <f t="shared" si="87"/>
        <v>6.114418071779034E-2</v>
      </c>
      <c r="S91" s="334">
        <f t="shared" ref="S91" si="92">S55/S$63</f>
        <v>6.6098679898885876E-2</v>
      </c>
      <c r="T91" s="335">
        <f t="shared" ref="T91" si="93">T55/T$63</f>
        <v>7.0152633906436349E-2</v>
      </c>
    </row>
    <row r="92" spans="1:20" x14ac:dyDescent="0.2">
      <c r="A92" s="329" t="s">
        <v>75</v>
      </c>
      <c r="B92" s="334">
        <f t="shared" si="87"/>
        <v>5.3369897690117074E-2</v>
      </c>
      <c r="C92" s="334">
        <f t="shared" si="87"/>
        <v>5.7327376476312648E-2</v>
      </c>
      <c r="D92" s="334">
        <f t="shared" si="87"/>
        <v>5.3347280334728034E-2</v>
      </c>
      <c r="E92" s="334">
        <f t="shared" si="87"/>
        <v>5.4899965533653922E-2</v>
      </c>
      <c r="F92" s="334">
        <f t="shared" si="87"/>
        <v>5.6240657698056799E-2</v>
      </c>
      <c r="G92" s="334">
        <f t="shared" si="87"/>
        <v>5.696889477167439E-2</v>
      </c>
      <c r="H92" s="334">
        <f t="shared" si="87"/>
        <v>5.7491826537536241E-2</v>
      </c>
      <c r="I92" s="334">
        <f t="shared" si="87"/>
        <v>5.8311067202550686E-2</v>
      </c>
      <c r="J92" s="334">
        <f t="shared" si="87"/>
        <v>5.186961084929928E-2</v>
      </c>
      <c r="K92" s="334">
        <f t="shared" si="87"/>
        <v>5.0816330455183557E-2</v>
      </c>
      <c r="L92" s="334">
        <f t="shared" si="87"/>
        <v>5.5773948791785467E-2</v>
      </c>
      <c r="M92" s="334">
        <f t="shared" si="87"/>
        <v>5.9189943346768512E-2</v>
      </c>
      <c r="N92" s="334">
        <f t="shared" si="87"/>
        <v>6.3492063492063489E-2</v>
      </c>
      <c r="O92" s="334">
        <f t="shared" si="87"/>
        <v>6.4318498692258377E-2</v>
      </c>
      <c r="P92" s="334">
        <f t="shared" si="87"/>
        <v>6.9146552276074011E-2</v>
      </c>
      <c r="Q92" s="334">
        <f t="shared" si="87"/>
        <v>7.228304468878298E-2</v>
      </c>
      <c r="R92" s="334">
        <f t="shared" si="87"/>
        <v>7.8341759856541557E-2</v>
      </c>
      <c r="S92" s="334">
        <f t="shared" ref="S92" si="94">S56/S$63</f>
        <v>8.4810143512512204E-2</v>
      </c>
      <c r="T92" s="335">
        <f t="shared" ref="T92" si="95">T56/T$63</f>
        <v>8.6983905766318689E-2</v>
      </c>
    </row>
    <row r="93" spans="1:20" x14ac:dyDescent="0.2">
      <c r="A93" s="329" t="s">
        <v>76</v>
      </c>
      <c r="B93" s="334">
        <f t="shared" si="87"/>
        <v>0.11209787997046725</v>
      </c>
      <c r="C93" s="334">
        <f t="shared" si="87"/>
        <v>0.12535940195514664</v>
      </c>
      <c r="D93" s="334">
        <f t="shared" si="87"/>
        <v>0.12741319826763561</v>
      </c>
      <c r="E93" s="334">
        <f t="shared" si="87"/>
        <v>0.13807874739450837</v>
      </c>
      <c r="F93" s="334">
        <f t="shared" si="87"/>
        <v>0.15051167069104288</v>
      </c>
      <c r="G93" s="334">
        <f t="shared" si="87"/>
        <v>0.16350761085373924</v>
      </c>
      <c r="H93" s="334">
        <f t="shared" si="87"/>
        <v>0.17126642403306397</v>
      </c>
      <c r="I93" s="334">
        <f t="shared" si="87"/>
        <v>0.1770213530323102</v>
      </c>
      <c r="J93" s="334">
        <f t="shared" si="87"/>
        <v>0.18319511040684872</v>
      </c>
      <c r="K93" s="334">
        <f t="shared" si="87"/>
        <v>0.19590007884463762</v>
      </c>
      <c r="L93" s="334">
        <f t="shared" si="87"/>
        <v>0.19190292604836648</v>
      </c>
      <c r="M93" s="334">
        <f t="shared" si="87"/>
        <v>0.18393979537191013</v>
      </c>
      <c r="N93" s="334">
        <f t="shared" si="87"/>
        <v>0.17711857056119351</v>
      </c>
      <c r="O93" s="334">
        <f t="shared" si="87"/>
        <v>0.17719135771058711</v>
      </c>
      <c r="P93" s="334">
        <f t="shared" si="87"/>
        <v>0.17200204878673411</v>
      </c>
      <c r="Q93" s="334">
        <f t="shared" si="87"/>
        <v>0.1701665801519513</v>
      </c>
      <c r="R93" s="334">
        <f t="shared" si="87"/>
        <v>0.1769196284027795</v>
      </c>
      <c r="S93" s="334">
        <f t="shared" ref="S93" si="96">S57/S$63</f>
        <v>0.18272767397381198</v>
      </c>
      <c r="T93" s="335">
        <f t="shared" ref="T93" si="97">T57/T$63</f>
        <v>0.17552229205472844</v>
      </c>
    </row>
    <row r="94" spans="1:20" x14ac:dyDescent="0.2">
      <c r="A94" s="329" t="s">
        <v>77</v>
      </c>
      <c r="B94" s="334">
        <f t="shared" si="87"/>
        <v>0.17896846324227403</v>
      </c>
      <c r="C94" s="334">
        <f t="shared" si="87"/>
        <v>0.21727783429911091</v>
      </c>
      <c r="D94" s="334">
        <f t="shared" si="87"/>
        <v>0.21414152536152095</v>
      </c>
      <c r="E94" s="334">
        <f t="shared" si="87"/>
        <v>0.2121649789098787</v>
      </c>
      <c r="F94" s="334">
        <f t="shared" si="87"/>
        <v>0.20596182591698287</v>
      </c>
      <c r="G94" s="334">
        <f t="shared" si="87"/>
        <v>0.20964923891462608</v>
      </c>
      <c r="H94" s="334">
        <f t="shared" si="87"/>
        <v>0.22118314724569738</v>
      </c>
      <c r="I94" s="334">
        <f t="shared" si="87"/>
        <v>0.24375238565686957</v>
      </c>
      <c r="J94" s="334">
        <f t="shared" si="87"/>
        <v>0.25822649352787441</v>
      </c>
      <c r="K94" s="334">
        <f t="shared" si="87"/>
        <v>0.26492759754620104</v>
      </c>
      <c r="L94" s="334">
        <f t="shared" si="87"/>
        <v>0.27200219761483013</v>
      </c>
      <c r="M94" s="334">
        <f t="shared" si="87"/>
        <v>0.25815271005383467</v>
      </c>
      <c r="N94" s="334">
        <f t="shared" si="87"/>
        <v>0.25795819238442191</v>
      </c>
      <c r="O94" s="334">
        <f t="shared" si="87"/>
        <v>0.24639480567061195</v>
      </c>
      <c r="P94" s="334">
        <f t="shared" si="87"/>
        <v>0.23970804789038991</v>
      </c>
      <c r="Q94" s="334">
        <f t="shared" si="87"/>
        <v>0.2257562172620452</v>
      </c>
      <c r="R94" s="334">
        <f t="shared" si="87"/>
        <v>0.23231052775771463</v>
      </c>
      <c r="S94" s="334">
        <f t="shared" ref="S94" si="98">S58/S$63</f>
        <v>0.21865261412120321</v>
      </c>
      <c r="T94" s="335">
        <f t="shared" ref="T94" si="99">T58/T$63</f>
        <v>0.21886013695509426</v>
      </c>
    </row>
    <row r="95" spans="1:20" x14ac:dyDescent="0.2">
      <c r="A95" s="329" t="s">
        <v>78</v>
      </c>
      <c r="B95" s="334">
        <f t="shared" si="87"/>
        <v>3.8266005695601728E-2</v>
      </c>
      <c r="C95" s="334">
        <f t="shared" si="87"/>
        <v>4.1580041580041582E-2</v>
      </c>
      <c r="D95" s="334">
        <f t="shared" si="87"/>
        <v>3.7950524847684061E-2</v>
      </c>
      <c r="E95" s="334">
        <f t="shared" si="87"/>
        <v>3.9587060348930725E-2</v>
      </c>
      <c r="F95" s="334">
        <f t="shared" si="87"/>
        <v>3.9338277566977116E-2</v>
      </c>
      <c r="G95" s="334">
        <f t="shared" si="87"/>
        <v>3.4546657842488421E-2</v>
      </c>
      <c r="H95" s="334">
        <f t="shared" si="87"/>
        <v>4.0441675405588795E-2</v>
      </c>
      <c r="I95" s="334">
        <f t="shared" si="87"/>
        <v>3.469025753867571E-2</v>
      </c>
      <c r="J95" s="334">
        <f t="shared" si="87"/>
        <v>3.862696273125759E-2</v>
      </c>
      <c r="K95" s="334">
        <f t="shared" si="87"/>
        <v>3.8056960443068402E-2</v>
      </c>
      <c r="L95" s="334">
        <f t="shared" si="87"/>
        <v>3.7795186086824729E-2</v>
      </c>
      <c r="M95" s="334">
        <f t="shared" si="87"/>
        <v>3.5044204552928025E-2</v>
      </c>
      <c r="N95" s="334">
        <f t="shared" si="87"/>
        <v>3.1958057458968209E-2</v>
      </c>
      <c r="O95" s="334">
        <f t="shared" si="87"/>
        <v>3.1294206246628875E-2</v>
      </c>
      <c r="P95" s="334">
        <f t="shared" si="87"/>
        <v>3.5437608041487934E-2</v>
      </c>
      <c r="Q95" s="334">
        <f t="shared" si="87"/>
        <v>4.0205747723089991E-2</v>
      </c>
      <c r="R95" s="334">
        <f t="shared" si="87"/>
        <v>4.7719857537794827E-2</v>
      </c>
      <c r="S95" s="334">
        <f t="shared" ref="S95" si="100">S59/S$63</f>
        <v>4.9781320636109516E-2</v>
      </c>
      <c r="T95" s="335">
        <f t="shared" ref="T95" si="101">T59/T$63</f>
        <v>4.9676373236133629E-2</v>
      </c>
    </row>
    <row r="96" spans="1:20" x14ac:dyDescent="0.2">
      <c r="A96" s="329" t="s">
        <v>79</v>
      </c>
      <c r="B96" s="334">
        <f t="shared" si="87"/>
        <v>0.18822908975846431</v>
      </c>
      <c r="C96" s="334">
        <f t="shared" si="87"/>
        <v>0.17720175166983679</v>
      </c>
      <c r="D96" s="334">
        <f t="shared" si="87"/>
        <v>0.16303310577699479</v>
      </c>
      <c r="E96" s="334">
        <f t="shared" si="87"/>
        <v>0.17290616947594742</v>
      </c>
      <c r="F96" s="334">
        <f t="shared" si="87"/>
        <v>0.16363401172818212</v>
      </c>
      <c r="G96" s="334">
        <f t="shared" si="87"/>
        <v>0.1701389808074123</v>
      </c>
      <c r="H96" s="334">
        <f t="shared" si="87"/>
        <v>0.16689901918450434</v>
      </c>
      <c r="I96" s="334">
        <f t="shared" si="87"/>
        <v>0.15108785953252352</v>
      </c>
      <c r="J96" s="334">
        <f t="shared" si="87"/>
        <v>0.15421974358446691</v>
      </c>
      <c r="K96" s="334">
        <f t="shared" si="87"/>
        <v>0.13764158381569586</v>
      </c>
      <c r="L96" s="334">
        <f t="shared" si="87"/>
        <v>0.13579744053652112</v>
      </c>
      <c r="M96" s="334">
        <f t="shared" si="87"/>
        <v>0.14077811287428244</v>
      </c>
      <c r="N96" s="334">
        <f t="shared" si="87"/>
        <v>0.13615905783483198</v>
      </c>
      <c r="O96" s="334">
        <f t="shared" si="87"/>
        <v>0.13047903033757036</v>
      </c>
      <c r="P96" s="334">
        <f t="shared" si="87"/>
        <v>0.12646989777407858</v>
      </c>
      <c r="Q96" s="334">
        <f t="shared" si="87"/>
        <v>0.12976027558869332</v>
      </c>
      <c r="R96" s="334">
        <f t="shared" si="87"/>
        <v>0.11849019949689921</v>
      </c>
      <c r="S96" s="334">
        <f t="shared" ref="S96" si="102">S60/S$63</f>
        <v>0.12179169954659141</v>
      </c>
      <c r="T96" s="335">
        <f t="shared" ref="T96" si="103">T60/T$63</f>
        <v>0.12934349999329967</v>
      </c>
    </row>
    <row r="97" spans="1:20" x14ac:dyDescent="0.2">
      <c r="A97" s="329" t="s">
        <v>80</v>
      </c>
      <c r="B97" s="334">
        <f t="shared" si="87"/>
        <v>3.9827022465984602E-2</v>
      </c>
      <c r="C97" s="334">
        <f t="shared" si="87"/>
        <v>2.1873755916309107E-2</v>
      </c>
      <c r="D97" s="334">
        <f t="shared" si="87"/>
        <v>1.8920208470968217E-2</v>
      </c>
      <c r="E97" s="334">
        <f t="shared" si="87"/>
        <v>1.6609496298970933E-2</v>
      </c>
      <c r="F97" s="334">
        <f t="shared" si="87"/>
        <v>1.8972059330803724E-2</v>
      </c>
      <c r="G97" s="334">
        <f t="shared" si="87"/>
        <v>2.2210456651224356E-2</v>
      </c>
      <c r="H97" s="334">
        <f t="shared" si="87"/>
        <v>2.3564246499290606E-2</v>
      </c>
      <c r="I97" s="334">
        <f t="shared" si="87"/>
        <v>2.445157958551317E-2</v>
      </c>
      <c r="J97" s="334">
        <f t="shared" si="87"/>
        <v>2.4910995410861645E-2</v>
      </c>
      <c r="K97" s="334">
        <f t="shared" si="87"/>
        <v>2.3913001673044748E-2</v>
      </c>
      <c r="L97" s="334">
        <f t="shared" si="87"/>
        <v>2.495050630393392E-2</v>
      </c>
      <c r="M97" s="334">
        <f t="shared" si="87"/>
        <v>2.4408805208715016E-2</v>
      </c>
      <c r="N97" s="334">
        <f t="shared" si="87"/>
        <v>2.4855196075596803E-2</v>
      </c>
      <c r="O97" s="334">
        <f t="shared" si="87"/>
        <v>2.505571895258546E-2</v>
      </c>
      <c r="P97" s="334">
        <f t="shared" si="87"/>
        <v>2.3945194954862668E-2</v>
      </c>
      <c r="Q97" s="334">
        <f t="shared" si="87"/>
        <v>2.6390920673870982E-2</v>
      </c>
      <c r="R97" s="334">
        <f t="shared" si="87"/>
        <v>2.6587133570770343E-2</v>
      </c>
      <c r="S97" s="334">
        <f t="shared" ref="S97" si="104">S61/S$63</f>
        <v>2.6736394398598311E-2</v>
      </c>
      <c r="T97" s="335">
        <f t="shared" ref="T97" si="105">T61/T$63</f>
        <v>2.9856746579472817E-2</v>
      </c>
    </row>
    <row r="98" spans="1:20" x14ac:dyDescent="0.2">
      <c r="A98" s="267" t="s">
        <v>81</v>
      </c>
      <c r="B98" s="336" t="s">
        <v>67</v>
      </c>
      <c r="C98" s="336" t="s">
        <v>67</v>
      </c>
      <c r="D98" s="336" t="s">
        <v>69</v>
      </c>
      <c r="E98" s="336" t="s">
        <v>69</v>
      </c>
      <c r="F98" s="337" t="s">
        <v>67</v>
      </c>
      <c r="G98" s="337" t="s">
        <v>67</v>
      </c>
      <c r="H98" s="347" t="s">
        <v>69</v>
      </c>
      <c r="I98" s="347" t="s">
        <v>69</v>
      </c>
      <c r="J98" s="348" t="s">
        <v>69</v>
      </c>
      <c r="K98" s="339" t="s">
        <v>69</v>
      </c>
      <c r="L98" s="340" t="s">
        <v>69</v>
      </c>
      <c r="M98" s="340" t="s">
        <v>69</v>
      </c>
      <c r="N98" s="340" t="s">
        <v>69</v>
      </c>
      <c r="O98" s="340" t="s">
        <v>69</v>
      </c>
      <c r="P98" s="340" t="s">
        <v>69</v>
      </c>
      <c r="Q98" s="340" t="s">
        <v>69</v>
      </c>
      <c r="R98" s="340" t="s">
        <v>69</v>
      </c>
      <c r="S98" s="340" t="s">
        <v>69</v>
      </c>
      <c r="T98" s="341" t="s">
        <v>69</v>
      </c>
    </row>
    <row r="99" spans="1:20" ht="13.5" thickBot="1" x14ac:dyDescent="0.25">
      <c r="A99" s="351" t="s">
        <v>48</v>
      </c>
      <c r="B99" s="352">
        <f t="shared" ref="B99:R99" si="106">B63/B$63</f>
        <v>1</v>
      </c>
      <c r="C99" s="352">
        <f t="shared" si="106"/>
        <v>1</v>
      </c>
      <c r="D99" s="352">
        <f t="shared" si="106"/>
        <v>1</v>
      </c>
      <c r="E99" s="352">
        <f t="shared" si="106"/>
        <v>1</v>
      </c>
      <c r="F99" s="352">
        <f t="shared" si="106"/>
        <v>1</v>
      </c>
      <c r="G99" s="352">
        <f t="shared" si="106"/>
        <v>1</v>
      </c>
      <c r="H99" s="352">
        <f t="shared" si="106"/>
        <v>1</v>
      </c>
      <c r="I99" s="352">
        <f t="shared" si="106"/>
        <v>1</v>
      </c>
      <c r="J99" s="352">
        <f t="shared" si="106"/>
        <v>1</v>
      </c>
      <c r="K99" s="352">
        <f t="shared" si="106"/>
        <v>1</v>
      </c>
      <c r="L99" s="352">
        <f t="shared" si="106"/>
        <v>1</v>
      </c>
      <c r="M99" s="352">
        <f t="shared" si="106"/>
        <v>1</v>
      </c>
      <c r="N99" s="352">
        <f t="shared" si="106"/>
        <v>1</v>
      </c>
      <c r="O99" s="352">
        <f t="shared" si="106"/>
        <v>1</v>
      </c>
      <c r="P99" s="352">
        <f t="shared" si="106"/>
        <v>1</v>
      </c>
      <c r="Q99" s="352">
        <f t="shared" si="106"/>
        <v>1</v>
      </c>
      <c r="R99" s="352">
        <f t="shared" si="106"/>
        <v>1</v>
      </c>
      <c r="S99" s="352">
        <f t="shared" ref="S99" si="107">S63/S$63</f>
        <v>1</v>
      </c>
      <c r="T99" s="353">
        <f t="shared" ref="T99" si="108">T63/T$63</f>
        <v>1</v>
      </c>
    </row>
    <row r="100" spans="1:20" ht="5.0999999999999996" customHeight="1" thickTop="1" x14ac:dyDescent="0.2">
      <c r="A100" s="72"/>
      <c r="B100" s="354"/>
      <c r="C100" s="355"/>
      <c r="D100" s="355"/>
      <c r="E100" s="355"/>
      <c r="F100" s="355"/>
      <c r="G100" s="355"/>
      <c r="H100" s="355"/>
      <c r="I100" s="355"/>
      <c r="J100" s="355"/>
      <c r="K100" s="355"/>
      <c r="L100" s="355"/>
      <c r="M100" s="355"/>
      <c r="N100" s="355"/>
      <c r="O100" s="355"/>
      <c r="P100" s="355"/>
      <c r="Q100" s="355"/>
      <c r="R100" s="355"/>
      <c r="S100" s="355"/>
    </row>
    <row r="101" spans="1:20" x14ac:dyDescent="0.2">
      <c r="A101" s="356" t="s">
        <v>88</v>
      </c>
      <c r="B101" s="354"/>
      <c r="C101" s="355"/>
      <c r="D101" s="355"/>
      <c r="E101" s="355"/>
      <c r="F101" s="355"/>
      <c r="G101" s="355"/>
      <c r="H101" s="355"/>
      <c r="I101" s="355"/>
      <c r="J101" s="355"/>
      <c r="K101" s="355"/>
      <c r="L101" s="355"/>
      <c r="M101" s="355"/>
      <c r="N101" s="355"/>
      <c r="O101" s="355"/>
      <c r="P101" s="355"/>
      <c r="Q101" s="355"/>
      <c r="R101" s="355"/>
      <c r="S101" s="355"/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254"/>
  <sheetViews>
    <sheetView workbookViewId="0">
      <selection activeCell="AI16" sqref="AI16"/>
    </sheetView>
  </sheetViews>
  <sheetFormatPr defaultRowHeight="12.75" x14ac:dyDescent="0.2"/>
  <cols>
    <col min="1" max="1" width="12.85546875" style="6" customWidth="1"/>
    <col min="2" max="2" width="10.7109375" style="6" customWidth="1"/>
    <col min="3" max="3" width="8.28515625" style="6" customWidth="1"/>
    <col min="4" max="4" width="8.7109375" style="6" customWidth="1"/>
    <col min="5" max="5" width="10.7109375" style="6" customWidth="1"/>
    <col min="6" max="6" width="8.28515625" style="6" customWidth="1"/>
    <col min="7" max="7" width="8.7109375" style="6" customWidth="1"/>
    <col min="8" max="8" width="4.140625" style="6" customWidth="1"/>
    <col min="9" max="9" width="12.85546875" style="6" customWidth="1"/>
    <col min="10" max="10" width="10.7109375" style="6" customWidth="1"/>
    <col min="11" max="11" width="8.28515625" style="6" customWidth="1"/>
    <col min="12" max="12" width="8.7109375" style="6" customWidth="1"/>
    <col min="13" max="13" width="10.7109375" style="6" customWidth="1"/>
    <col min="14" max="14" width="8.28515625" style="6" customWidth="1"/>
    <col min="15" max="15" width="8.7109375" style="6" customWidth="1"/>
    <col min="16" max="16" width="9.140625" style="6"/>
    <col min="17" max="17" width="9.28515625" style="8" hidden="1" customWidth="1"/>
    <col min="18" max="18" width="11.85546875" style="8" hidden="1" customWidth="1"/>
    <col min="19" max="19" width="17.5703125" style="392" hidden="1" customWidth="1"/>
    <col min="20" max="21" width="14.5703125" style="392" hidden="1" customWidth="1"/>
    <col min="22" max="22" width="13.42578125" style="392" hidden="1" customWidth="1"/>
    <col min="23" max="23" width="11.7109375" style="392" hidden="1" customWidth="1"/>
    <col min="24" max="24" width="13.42578125" style="392" hidden="1" customWidth="1"/>
    <col min="25" max="32" width="0" style="392" hidden="1" customWidth="1"/>
    <col min="33" max="33" width="11.5703125" style="6" bestFit="1" customWidth="1"/>
    <col min="34" max="34" width="14.42578125" style="392" bestFit="1" customWidth="1"/>
    <col min="35" max="37" width="9.140625" style="8"/>
    <col min="38" max="47" width="9.140625" style="6"/>
    <col min="48" max="53" width="9.140625" style="8"/>
    <col min="54" max="256" width="9.140625" style="6"/>
    <col min="257" max="257" width="12.85546875" style="6" customWidth="1"/>
    <col min="258" max="258" width="10.7109375" style="6" customWidth="1"/>
    <col min="259" max="259" width="8.28515625" style="6" customWidth="1"/>
    <col min="260" max="260" width="8.7109375" style="6" customWidth="1"/>
    <col min="261" max="261" width="10.7109375" style="6" customWidth="1"/>
    <col min="262" max="262" width="8.28515625" style="6" customWidth="1"/>
    <col min="263" max="263" width="8.7109375" style="6" customWidth="1"/>
    <col min="264" max="264" width="4.140625" style="6" customWidth="1"/>
    <col min="265" max="265" width="12.85546875" style="6" customWidth="1"/>
    <col min="266" max="266" width="10.7109375" style="6" customWidth="1"/>
    <col min="267" max="267" width="8.28515625" style="6" customWidth="1"/>
    <col min="268" max="268" width="8.7109375" style="6" customWidth="1"/>
    <col min="269" max="269" width="10.7109375" style="6" customWidth="1"/>
    <col min="270" max="270" width="8.28515625" style="6" customWidth="1"/>
    <col min="271" max="271" width="8.7109375" style="6" customWidth="1"/>
    <col min="272" max="272" width="9.140625" style="6"/>
    <col min="273" max="273" width="9.28515625" style="6" bestFit="1" customWidth="1"/>
    <col min="274" max="274" width="11.85546875" style="6" bestFit="1" customWidth="1"/>
    <col min="275" max="275" width="17.5703125" style="6" bestFit="1" customWidth="1"/>
    <col min="276" max="277" width="14.5703125" style="6" bestFit="1" customWidth="1"/>
    <col min="278" max="278" width="13.42578125" style="6" bestFit="1" customWidth="1"/>
    <col min="279" max="279" width="11.7109375" style="6" bestFit="1" customWidth="1"/>
    <col min="280" max="280" width="13.42578125" style="6" bestFit="1" customWidth="1"/>
    <col min="281" max="512" width="9.140625" style="6"/>
    <col min="513" max="513" width="12.85546875" style="6" customWidth="1"/>
    <col min="514" max="514" width="10.7109375" style="6" customWidth="1"/>
    <col min="515" max="515" width="8.28515625" style="6" customWidth="1"/>
    <col min="516" max="516" width="8.7109375" style="6" customWidth="1"/>
    <col min="517" max="517" width="10.7109375" style="6" customWidth="1"/>
    <col min="518" max="518" width="8.28515625" style="6" customWidth="1"/>
    <col min="519" max="519" width="8.7109375" style="6" customWidth="1"/>
    <col min="520" max="520" width="4.140625" style="6" customWidth="1"/>
    <col min="521" max="521" width="12.85546875" style="6" customWidth="1"/>
    <col min="522" max="522" width="10.7109375" style="6" customWidth="1"/>
    <col min="523" max="523" width="8.28515625" style="6" customWidth="1"/>
    <col min="524" max="524" width="8.7109375" style="6" customWidth="1"/>
    <col min="525" max="525" width="10.7109375" style="6" customWidth="1"/>
    <col min="526" max="526" width="8.28515625" style="6" customWidth="1"/>
    <col min="527" max="527" width="8.7109375" style="6" customWidth="1"/>
    <col min="528" max="528" width="9.140625" style="6"/>
    <col min="529" max="529" width="9.28515625" style="6" bestFit="1" customWidth="1"/>
    <col min="530" max="530" width="11.85546875" style="6" bestFit="1" customWidth="1"/>
    <col min="531" max="531" width="17.5703125" style="6" bestFit="1" customWidth="1"/>
    <col min="532" max="533" width="14.5703125" style="6" bestFit="1" customWidth="1"/>
    <col min="534" max="534" width="13.42578125" style="6" bestFit="1" customWidth="1"/>
    <col min="535" max="535" width="11.7109375" style="6" bestFit="1" customWidth="1"/>
    <col min="536" max="536" width="13.42578125" style="6" bestFit="1" customWidth="1"/>
    <col min="537" max="768" width="9.140625" style="6"/>
    <col min="769" max="769" width="12.85546875" style="6" customWidth="1"/>
    <col min="770" max="770" width="10.7109375" style="6" customWidth="1"/>
    <col min="771" max="771" width="8.28515625" style="6" customWidth="1"/>
    <col min="772" max="772" width="8.7109375" style="6" customWidth="1"/>
    <col min="773" max="773" width="10.7109375" style="6" customWidth="1"/>
    <col min="774" max="774" width="8.28515625" style="6" customWidth="1"/>
    <col min="775" max="775" width="8.7109375" style="6" customWidth="1"/>
    <col min="776" max="776" width="4.140625" style="6" customWidth="1"/>
    <col min="777" max="777" width="12.85546875" style="6" customWidth="1"/>
    <col min="778" max="778" width="10.7109375" style="6" customWidth="1"/>
    <col min="779" max="779" width="8.28515625" style="6" customWidth="1"/>
    <col min="780" max="780" width="8.7109375" style="6" customWidth="1"/>
    <col min="781" max="781" width="10.7109375" style="6" customWidth="1"/>
    <col min="782" max="782" width="8.28515625" style="6" customWidth="1"/>
    <col min="783" max="783" width="8.7109375" style="6" customWidth="1"/>
    <col min="784" max="784" width="9.140625" style="6"/>
    <col min="785" max="785" width="9.28515625" style="6" bestFit="1" customWidth="1"/>
    <col min="786" max="786" width="11.85546875" style="6" bestFit="1" customWidth="1"/>
    <col min="787" max="787" width="17.5703125" style="6" bestFit="1" customWidth="1"/>
    <col min="788" max="789" width="14.5703125" style="6" bestFit="1" customWidth="1"/>
    <col min="790" max="790" width="13.42578125" style="6" bestFit="1" customWidth="1"/>
    <col min="791" max="791" width="11.7109375" style="6" bestFit="1" customWidth="1"/>
    <col min="792" max="792" width="13.42578125" style="6" bestFit="1" customWidth="1"/>
    <col min="793" max="1024" width="9.140625" style="6"/>
    <col min="1025" max="1025" width="12.85546875" style="6" customWidth="1"/>
    <col min="1026" max="1026" width="10.7109375" style="6" customWidth="1"/>
    <col min="1027" max="1027" width="8.28515625" style="6" customWidth="1"/>
    <col min="1028" max="1028" width="8.7109375" style="6" customWidth="1"/>
    <col min="1029" max="1029" width="10.7109375" style="6" customWidth="1"/>
    <col min="1030" max="1030" width="8.28515625" style="6" customWidth="1"/>
    <col min="1031" max="1031" width="8.7109375" style="6" customWidth="1"/>
    <col min="1032" max="1032" width="4.140625" style="6" customWidth="1"/>
    <col min="1033" max="1033" width="12.85546875" style="6" customWidth="1"/>
    <col min="1034" max="1034" width="10.7109375" style="6" customWidth="1"/>
    <col min="1035" max="1035" width="8.28515625" style="6" customWidth="1"/>
    <col min="1036" max="1036" width="8.7109375" style="6" customWidth="1"/>
    <col min="1037" max="1037" width="10.7109375" style="6" customWidth="1"/>
    <col min="1038" max="1038" width="8.28515625" style="6" customWidth="1"/>
    <col min="1039" max="1039" width="8.7109375" style="6" customWidth="1"/>
    <col min="1040" max="1040" width="9.140625" style="6"/>
    <col min="1041" max="1041" width="9.28515625" style="6" bestFit="1" customWidth="1"/>
    <col min="1042" max="1042" width="11.85546875" style="6" bestFit="1" customWidth="1"/>
    <col min="1043" max="1043" width="17.5703125" style="6" bestFit="1" customWidth="1"/>
    <col min="1044" max="1045" width="14.5703125" style="6" bestFit="1" customWidth="1"/>
    <col min="1046" max="1046" width="13.42578125" style="6" bestFit="1" customWidth="1"/>
    <col min="1047" max="1047" width="11.7109375" style="6" bestFit="1" customWidth="1"/>
    <col min="1048" max="1048" width="13.42578125" style="6" bestFit="1" customWidth="1"/>
    <col min="1049" max="1280" width="9.140625" style="6"/>
    <col min="1281" max="1281" width="12.85546875" style="6" customWidth="1"/>
    <col min="1282" max="1282" width="10.7109375" style="6" customWidth="1"/>
    <col min="1283" max="1283" width="8.28515625" style="6" customWidth="1"/>
    <col min="1284" max="1284" width="8.7109375" style="6" customWidth="1"/>
    <col min="1285" max="1285" width="10.7109375" style="6" customWidth="1"/>
    <col min="1286" max="1286" width="8.28515625" style="6" customWidth="1"/>
    <col min="1287" max="1287" width="8.7109375" style="6" customWidth="1"/>
    <col min="1288" max="1288" width="4.140625" style="6" customWidth="1"/>
    <col min="1289" max="1289" width="12.85546875" style="6" customWidth="1"/>
    <col min="1290" max="1290" width="10.7109375" style="6" customWidth="1"/>
    <col min="1291" max="1291" width="8.28515625" style="6" customWidth="1"/>
    <col min="1292" max="1292" width="8.7109375" style="6" customWidth="1"/>
    <col min="1293" max="1293" width="10.7109375" style="6" customWidth="1"/>
    <col min="1294" max="1294" width="8.28515625" style="6" customWidth="1"/>
    <col min="1295" max="1295" width="8.7109375" style="6" customWidth="1"/>
    <col min="1296" max="1296" width="9.140625" style="6"/>
    <col min="1297" max="1297" width="9.28515625" style="6" bestFit="1" customWidth="1"/>
    <col min="1298" max="1298" width="11.85546875" style="6" bestFit="1" customWidth="1"/>
    <col min="1299" max="1299" width="17.5703125" style="6" bestFit="1" customWidth="1"/>
    <col min="1300" max="1301" width="14.5703125" style="6" bestFit="1" customWidth="1"/>
    <col min="1302" max="1302" width="13.42578125" style="6" bestFit="1" customWidth="1"/>
    <col min="1303" max="1303" width="11.7109375" style="6" bestFit="1" customWidth="1"/>
    <col min="1304" max="1304" width="13.42578125" style="6" bestFit="1" customWidth="1"/>
    <col min="1305" max="1536" width="9.140625" style="6"/>
    <col min="1537" max="1537" width="12.85546875" style="6" customWidth="1"/>
    <col min="1538" max="1538" width="10.7109375" style="6" customWidth="1"/>
    <col min="1539" max="1539" width="8.28515625" style="6" customWidth="1"/>
    <col min="1540" max="1540" width="8.7109375" style="6" customWidth="1"/>
    <col min="1541" max="1541" width="10.7109375" style="6" customWidth="1"/>
    <col min="1542" max="1542" width="8.28515625" style="6" customWidth="1"/>
    <col min="1543" max="1543" width="8.7109375" style="6" customWidth="1"/>
    <col min="1544" max="1544" width="4.140625" style="6" customWidth="1"/>
    <col min="1545" max="1545" width="12.85546875" style="6" customWidth="1"/>
    <col min="1546" max="1546" width="10.7109375" style="6" customWidth="1"/>
    <col min="1547" max="1547" width="8.28515625" style="6" customWidth="1"/>
    <col min="1548" max="1548" width="8.7109375" style="6" customWidth="1"/>
    <col min="1549" max="1549" width="10.7109375" style="6" customWidth="1"/>
    <col min="1550" max="1550" width="8.28515625" style="6" customWidth="1"/>
    <col min="1551" max="1551" width="8.7109375" style="6" customWidth="1"/>
    <col min="1552" max="1552" width="9.140625" style="6"/>
    <col min="1553" max="1553" width="9.28515625" style="6" bestFit="1" customWidth="1"/>
    <col min="1554" max="1554" width="11.85546875" style="6" bestFit="1" customWidth="1"/>
    <col min="1555" max="1555" width="17.5703125" style="6" bestFit="1" customWidth="1"/>
    <col min="1556" max="1557" width="14.5703125" style="6" bestFit="1" customWidth="1"/>
    <col min="1558" max="1558" width="13.42578125" style="6" bestFit="1" customWidth="1"/>
    <col min="1559" max="1559" width="11.7109375" style="6" bestFit="1" customWidth="1"/>
    <col min="1560" max="1560" width="13.42578125" style="6" bestFit="1" customWidth="1"/>
    <col min="1561" max="1792" width="9.140625" style="6"/>
    <col min="1793" max="1793" width="12.85546875" style="6" customWidth="1"/>
    <col min="1794" max="1794" width="10.7109375" style="6" customWidth="1"/>
    <col min="1795" max="1795" width="8.28515625" style="6" customWidth="1"/>
    <col min="1796" max="1796" width="8.7109375" style="6" customWidth="1"/>
    <col min="1797" max="1797" width="10.7109375" style="6" customWidth="1"/>
    <col min="1798" max="1798" width="8.28515625" style="6" customWidth="1"/>
    <col min="1799" max="1799" width="8.7109375" style="6" customWidth="1"/>
    <col min="1800" max="1800" width="4.140625" style="6" customWidth="1"/>
    <col min="1801" max="1801" width="12.85546875" style="6" customWidth="1"/>
    <col min="1802" max="1802" width="10.7109375" style="6" customWidth="1"/>
    <col min="1803" max="1803" width="8.28515625" style="6" customWidth="1"/>
    <col min="1804" max="1804" width="8.7109375" style="6" customWidth="1"/>
    <col min="1805" max="1805" width="10.7109375" style="6" customWidth="1"/>
    <col min="1806" max="1806" width="8.28515625" style="6" customWidth="1"/>
    <col min="1807" max="1807" width="8.7109375" style="6" customWidth="1"/>
    <col min="1808" max="1808" width="9.140625" style="6"/>
    <col min="1809" max="1809" width="9.28515625" style="6" bestFit="1" customWidth="1"/>
    <col min="1810" max="1810" width="11.85546875" style="6" bestFit="1" customWidth="1"/>
    <col min="1811" max="1811" width="17.5703125" style="6" bestFit="1" customWidth="1"/>
    <col min="1812" max="1813" width="14.5703125" style="6" bestFit="1" customWidth="1"/>
    <col min="1814" max="1814" width="13.42578125" style="6" bestFit="1" customWidth="1"/>
    <col min="1815" max="1815" width="11.7109375" style="6" bestFit="1" customWidth="1"/>
    <col min="1816" max="1816" width="13.42578125" style="6" bestFit="1" customWidth="1"/>
    <col min="1817" max="2048" width="9.140625" style="6"/>
    <col min="2049" max="2049" width="12.85546875" style="6" customWidth="1"/>
    <col min="2050" max="2050" width="10.7109375" style="6" customWidth="1"/>
    <col min="2051" max="2051" width="8.28515625" style="6" customWidth="1"/>
    <col min="2052" max="2052" width="8.7109375" style="6" customWidth="1"/>
    <col min="2053" max="2053" width="10.7109375" style="6" customWidth="1"/>
    <col min="2054" max="2054" width="8.28515625" style="6" customWidth="1"/>
    <col min="2055" max="2055" width="8.7109375" style="6" customWidth="1"/>
    <col min="2056" max="2056" width="4.140625" style="6" customWidth="1"/>
    <col min="2057" max="2057" width="12.85546875" style="6" customWidth="1"/>
    <col min="2058" max="2058" width="10.7109375" style="6" customWidth="1"/>
    <col min="2059" max="2059" width="8.28515625" style="6" customWidth="1"/>
    <col min="2060" max="2060" width="8.7109375" style="6" customWidth="1"/>
    <col min="2061" max="2061" width="10.7109375" style="6" customWidth="1"/>
    <col min="2062" max="2062" width="8.28515625" style="6" customWidth="1"/>
    <col min="2063" max="2063" width="8.7109375" style="6" customWidth="1"/>
    <col min="2064" max="2064" width="9.140625" style="6"/>
    <col min="2065" max="2065" width="9.28515625" style="6" bestFit="1" customWidth="1"/>
    <col min="2066" max="2066" width="11.85546875" style="6" bestFit="1" customWidth="1"/>
    <col min="2067" max="2067" width="17.5703125" style="6" bestFit="1" customWidth="1"/>
    <col min="2068" max="2069" width="14.5703125" style="6" bestFit="1" customWidth="1"/>
    <col min="2070" max="2070" width="13.42578125" style="6" bestFit="1" customWidth="1"/>
    <col min="2071" max="2071" width="11.7109375" style="6" bestFit="1" customWidth="1"/>
    <col min="2072" max="2072" width="13.42578125" style="6" bestFit="1" customWidth="1"/>
    <col min="2073" max="2304" width="9.140625" style="6"/>
    <col min="2305" max="2305" width="12.85546875" style="6" customWidth="1"/>
    <col min="2306" max="2306" width="10.7109375" style="6" customWidth="1"/>
    <col min="2307" max="2307" width="8.28515625" style="6" customWidth="1"/>
    <col min="2308" max="2308" width="8.7109375" style="6" customWidth="1"/>
    <col min="2309" max="2309" width="10.7109375" style="6" customWidth="1"/>
    <col min="2310" max="2310" width="8.28515625" style="6" customWidth="1"/>
    <col min="2311" max="2311" width="8.7109375" style="6" customWidth="1"/>
    <col min="2312" max="2312" width="4.140625" style="6" customWidth="1"/>
    <col min="2313" max="2313" width="12.85546875" style="6" customWidth="1"/>
    <col min="2314" max="2314" width="10.7109375" style="6" customWidth="1"/>
    <col min="2315" max="2315" width="8.28515625" style="6" customWidth="1"/>
    <col min="2316" max="2316" width="8.7109375" style="6" customWidth="1"/>
    <col min="2317" max="2317" width="10.7109375" style="6" customWidth="1"/>
    <col min="2318" max="2318" width="8.28515625" style="6" customWidth="1"/>
    <col min="2319" max="2319" width="8.7109375" style="6" customWidth="1"/>
    <col min="2320" max="2320" width="9.140625" style="6"/>
    <col min="2321" max="2321" width="9.28515625" style="6" bestFit="1" customWidth="1"/>
    <col min="2322" max="2322" width="11.85546875" style="6" bestFit="1" customWidth="1"/>
    <col min="2323" max="2323" width="17.5703125" style="6" bestFit="1" customWidth="1"/>
    <col min="2324" max="2325" width="14.5703125" style="6" bestFit="1" customWidth="1"/>
    <col min="2326" max="2326" width="13.42578125" style="6" bestFit="1" customWidth="1"/>
    <col min="2327" max="2327" width="11.7109375" style="6" bestFit="1" customWidth="1"/>
    <col min="2328" max="2328" width="13.42578125" style="6" bestFit="1" customWidth="1"/>
    <col min="2329" max="2560" width="9.140625" style="6"/>
    <col min="2561" max="2561" width="12.85546875" style="6" customWidth="1"/>
    <col min="2562" max="2562" width="10.7109375" style="6" customWidth="1"/>
    <col min="2563" max="2563" width="8.28515625" style="6" customWidth="1"/>
    <col min="2564" max="2564" width="8.7109375" style="6" customWidth="1"/>
    <col min="2565" max="2565" width="10.7109375" style="6" customWidth="1"/>
    <col min="2566" max="2566" width="8.28515625" style="6" customWidth="1"/>
    <col min="2567" max="2567" width="8.7109375" style="6" customWidth="1"/>
    <col min="2568" max="2568" width="4.140625" style="6" customWidth="1"/>
    <col min="2569" max="2569" width="12.85546875" style="6" customWidth="1"/>
    <col min="2570" max="2570" width="10.7109375" style="6" customWidth="1"/>
    <col min="2571" max="2571" width="8.28515625" style="6" customWidth="1"/>
    <col min="2572" max="2572" width="8.7109375" style="6" customWidth="1"/>
    <col min="2573" max="2573" width="10.7109375" style="6" customWidth="1"/>
    <col min="2574" max="2574" width="8.28515625" style="6" customWidth="1"/>
    <col min="2575" max="2575" width="8.7109375" style="6" customWidth="1"/>
    <col min="2576" max="2576" width="9.140625" style="6"/>
    <col min="2577" max="2577" width="9.28515625" style="6" bestFit="1" customWidth="1"/>
    <col min="2578" max="2578" width="11.85546875" style="6" bestFit="1" customWidth="1"/>
    <col min="2579" max="2579" width="17.5703125" style="6" bestFit="1" customWidth="1"/>
    <col min="2580" max="2581" width="14.5703125" style="6" bestFit="1" customWidth="1"/>
    <col min="2582" max="2582" width="13.42578125" style="6" bestFit="1" customWidth="1"/>
    <col min="2583" max="2583" width="11.7109375" style="6" bestFit="1" customWidth="1"/>
    <col min="2584" max="2584" width="13.42578125" style="6" bestFit="1" customWidth="1"/>
    <col min="2585" max="2816" width="9.140625" style="6"/>
    <col min="2817" max="2817" width="12.85546875" style="6" customWidth="1"/>
    <col min="2818" max="2818" width="10.7109375" style="6" customWidth="1"/>
    <col min="2819" max="2819" width="8.28515625" style="6" customWidth="1"/>
    <col min="2820" max="2820" width="8.7109375" style="6" customWidth="1"/>
    <col min="2821" max="2821" width="10.7109375" style="6" customWidth="1"/>
    <col min="2822" max="2822" width="8.28515625" style="6" customWidth="1"/>
    <col min="2823" max="2823" width="8.7109375" style="6" customWidth="1"/>
    <col min="2824" max="2824" width="4.140625" style="6" customWidth="1"/>
    <col min="2825" max="2825" width="12.85546875" style="6" customWidth="1"/>
    <col min="2826" max="2826" width="10.7109375" style="6" customWidth="1"/>
    <col min="2827" max="2827" width="8.28515625" style="6" customWidth="1"/>
    <col min="2828" max="2828" width="8.7109375" style="6" customWidth="1"/>
    <col min="2829" max="2829" width="10.7109375" style="6" customWidth="1"/>
    <col min="2830" max="2830" width="8.28515625" style="6" customWidth="1"/>
    <col min="2831" max="2831" width="8.7109375" style="6" customWidth="1"/>
    <col min="2832" max="2832" width="9.140625" style="6"/>
    <col min="2833" max="2833" width="9.28515625" style="6" bestFit="1" customWidth="1"/>
    <col min="2834" max="2834" width="11.85546875" style="6" bestFit="1" customWidth="1"/>
    <col min="2835" max="2835" width="17.5703125" style="6" bestFit="1" customWidth="1"/>
    <col min="2836" max="2837" width="14.5703125" style="6" bestFit="1" customWidth="1"/>
    <col min="2838" max="2838" width="13.42578125" style="6" bestFit="1" customWidth="1"/>
    <col min="2839" max="2839" width="11.7109375" style="6" bestFit="1" customWidth="1"/>
    <col min="2840" max="2840" width="13.42578125" style="6" bestFit="1" customWidth="1"/>
    <col min="2841" max="3072" width="9.140625" style="6"/>
    <col min="3073" max="3073" width="12.85546875" style="6" customWidth="1"/>
    <col min="3074" max="3074" width="10.7109375" style="6" customWidth="1"/>
    <col min="3075" max="3075" width="8.28515625" style="6" customWidth="1"/>
    <col min="3076" max="3076" width="8.7109375" style="6" customWidth="1"/>
    <col min="3077" max="3077" width="10.7109375" style="6" customWidth="1"/>
    <col min="3078" max="3078" width="8.28515625" style="6" customWidth="1"/>
    <col min="3079" max="3079" width="8.7109375" style="6" customWidth="1"/>
    <col min="3080" max="3080" width="4.140625" style="6" customWidth="1"/>
    <col min="3081" max="3081" width="12.85546875" style="6" customWidth="1"/>
    <col min="3082" max="3082" width="10.7109375" style="6" customWidth="1"/>
    <col min="3083" max="3083" width="8.28515625" style="6" customWidth="1"/>
    <col min="3084" max="3084" width="8.7109375" style="6" customWidth="1"/>
    <col min="3085" max="3085" width="10.7109375" style="6" customWidth="1"/>
    <col min="3086" max="3086" width="8.28515625" style="6" customWidth="1"/>
    <col min="3087" max="3087" width="8.7109375" style="6" customWidth="1"/>
    <col min="3088" max="3088" width="9.140625" style="6"/>
    <col min="3089" max="3089" width="9.28515625" style="6" bestFit="1" customWidth="1"/>
    <col min="3090" max="3090" width="11.85546875" style="6" bestFit="1" customWidth="1"/>
    <col min="3091" max="3091" width="17.5703125" style="6" bestFit="1" customWidth="1"/>
    <col min="3092" max="3093" width="14.5703125" style="6" bestFit="1" customWidth="1"/>
    <col min="3094" max="3094" width="13.42578125" style="6" bestFit="1" customWidth="1"/>
    <col min="3095" max="3095" width="11.7109375" style="6" bestFit="1" customWidth="1"/>
    <col min="3096" max="3096" width="13.42578125" style="6" bestFit="1" customWidth="1"/>
    <col min="3097" max="3328" width="9.140625" style="6"/>
    <col min="3329" max="3329" width="12.85546875" style="6" customWidth="1"/>
    <col min="3330" max="3330" width="10.7109375" style="6" customWidth="1"/>
    <col min="3331" max="3331" width="8.28515625" style="6" customWidth="1"/>
    <col min="3332" max="3332" width="8.7109375" style="6" customWidth="1"/>
    <col min="3333" max="3333" width="10.7109375" style="6" customWidth="1"/>
    <col min="3334" max="3334" width="8.28515625" style="6" customWidth="1"/>
    <col min="3335" max="3335" width="8.7109375" style="6" customWidth="1"/>
    <col min="3336" max="3336" width="4.140625" style="6" customWidth="1"/>
    <col min="3337" max="3337" width="12.85546875" style="6" customWidth="1"/>
    <col min="3338" max="3338" width="10.7109375" style="6" customWidth="1"/>
    <col min="3339" max="3339" width="8.28515625" style="6" customWidth="1"/>
    <col min="3340" max="3340" width="8.7109375" style="6" customWidth="1"/>
    <col min="3341" max="3341" width="10.7109375" style="6" customWidth="1"/>
    <col min="3342" max="3342" width="8.28515625" style="6" customWidth="1"/>
    <col min="3343" max="3343" width="8.7109375" style="6" customWidth="1"/>
    <col min="3344" max="3344" width="9.140625" style="6"/>
    <col min="3345" max="3345" width="9.28515625" style="6" bestFit="1" customWidth="1"/>
    <col min="3346" max="3346" width="11.85546875" style="6" bestFit="1" customWidth="1"/>
    <col min="3347" max="3347" width="17.5703125" style="6" bestFit="1" customWidth="1"/>
    <col min="3348" max="3349" width="14.5703125" style="6" bestFit="1" customWidth="1"/>
    <col min="3350" max="3350" width="13.42578125" style="6" bestFit="1" customWidth="1"/>
    <col min="3351" max="3351" width="11.7109375" style="6" bestFit="1" customWidth="1"/>
    <col min="3352" max="3352" width="13.42578125" style="6" bestFit="1" customWidth="1"/>
    <col min="3353" max="3584" width="9.140625" style="6"/>
    <col min="3585" max="3585" width="12.85546875" style="6" customWidth="1"/>
    <col min="3586" max="3586" width="10.7109375" style="6" customWidth="1"/>
    <col min="3587" max="3587" width="8.28515625" style="6" customWidth="1"/>
    <col min="3588" max="3588" width="8.7109375" style="6" customWidth="1"/>
    <col min="3589" max="3589" width="10.7109375" style="6" customWidth="1"/>
    <col min="3590" max="3590" width="8.28515625" style="6" customWidth="1"/>
    <col min="3591" max="3591" width="8.7109375" style="6" customWidth="1"/>
    <col min="3592" max="3592" width="4.140625" style="6" customWidth="1"/>
    <col min="3593" max="3593" width="12.85546875" style="6" customWidth="1"/>
    <col min="3594" max="3594" width="10.7109375" style="6" customWidth="1"/>
    <col min="3595" max="3595" width="8.28515625" style="6" customWidth="1"/>
    <col min="3596" max="3596" width="8.7109375" style="6" customWidth="1"/>
    <col min="3597" max="3597" width="10.7109375" style="6" customWidth="1"/>
    <col min="3598" max="3598" width="8.28515625" style="6" customWidth="1"/>
    <col min="3599" max="3599" width="8.7109375" style="6" customWidth="1"/>
    <col min="3600" max="3600" width="9.140625" style="6"/>
    <col min="3601" max="3601" width="9.28515625" style="6" bestFit="1" customWidth="1"/>
    <col min="3602" max="3602" width="11.85546875" style="6" bestFit="1" customWidth="1"/>
    <col min="3603" max="3603" width="17.5703125" style="6" bestFit="1" customWidth="1"/>
    <col min="3604" max="3605" width="14.5703125" style="6" bestFit="1" customWidth="1"/>
    <col min="3606" max="3606" width="13.42578125" style="6" bestFit="1" customWidth="1"/>
    <col min="3607" max="3607" width="11.7109375" style="6" bestFit="1" customWidth="1"/>
    <col min="3608" max="3608" width="13.42578125" style="6" bestFit="1" customWidth="1"/>
    <col min="3609" max="3840" width="9.140625" style="6"/>
    <col min="3841" max="3841" width="12.85546875" style="6" customWidth="1"/>
    <col min="3842" max="3842" width="10.7109375" style="6" customWidth="1"/>
    <col min="3843" max="3843" width="8.28515625" style="6" customWidth="1"/>
    <col min="3844" max="3844" width="8.7109375" style="6" customWidth="1"/>
    <col min="3845" max="3845" width="10.7109375" style="6" customWidth="1"/>
    <col min="3846" max="3846" width="8.28515625" style="6" customWidth="1"/>
    <col min="3847" max="3847" width="8.7109375" style="6" customWidth="1"/>
    <col min="3848" max="3848" width="4.140625" style="6" customWidth="1"/>
    <col min="3849" max="3849" width="12.85546875" style="6" customWidth="1"/>
    <col min="3850" max="3850" width="10.7109375" style="6" customWidth="1"/>
    <col min="3851" max="3851" width="8.28515625" style="6" customWidth="1"/>
    <col min="3852" max="3852" width="8.7109375" style="6" customWidth="1"/>
    <col min="3853" max="3853" width="10.7109375" style="6" customWidth="1"/>
    <col min="3854" max="3854" width="8.28515625" style="6" customWidth="1"/>
    <col min="3855" max="3855" width="8.7109375" style="6" customWidth="1"/>
    <col min="3856" max="3856" width="9.140625" style="6"/>
    <col min="3857" max="3857" width="9.28515625" style="6" bestFit="1" customWidth="1"/>
    <col min="3858" max="3858" width="11.85546875" style="6" bestFit="1" customWidth="1"/>
    <col min="3859" max="3859" width="17.5703125" style="6" bestFit="1" customWidth="1"/>
    <col min="3860" max="3861" width="14.5703125" style="6" bestFit="1" customWidth="1"/>
    <col min="3862" max="3862" width="13.42578125" style="6" bestFit="1" customWidth="1"/>
    <col min="3863" max="3863" width="11.7109375" style="6" bestFit="1" customWidth="1"/>
    <col min="3864" max="3864" width="13.42578125" style="6" bestFit="1" customWidth="1"/>
    <col min="3865" max="4096" width="9.140625" style="6"/>
    <col min="4097" max="4097" width="12.85546875" style="6" customWidth="1"/>
    <col min="4098" max="4098" width="10.7109375" style="6" customWidth="1"/>
    <col min="4099" max="4099" width="8.28515625" style="6" customWidth="1"/>
    <col min="4100" max="4100" width="8.7109375" style="6" customWidth="1"/>
    <col min="4101" max="4101" width="10.7109375" style="6" customWidth="1"/>
    <col min="4102" max="4102" width="8.28515625" style="6" customWidth="1"/>
    <col min="4103" max="4103" width="8.7109375" style="6" customWidth="1"/>
    <col min="4104" max="4104" width="4.140625" style="6" customWidth="1"/>
    <col min="4105" max="4105" width="12.85546875" style="6" customWidth="1"/>
    <col min="4106" max="4106" width="10.7109375" style="6" customWidth="1"/>
    <col min="4107" max="4107" width="8.28515625" style="6" customWidth="1"/>
    <col min="4108" max="4108" width="8.7109375" style="6" customWidth="1"/>
    <col min="4109" max="4109" width="10.7109375" style="6" customWidth="1"/>
    <col min="4110" max="4110" width="8.28515625" style="6" customWidth="1"/>
    <col min="4111" max="4111" width="8.7109375" style="6" customWidth="1"/>
    <col min="4112" max="4112" width="9.140625" style="6"/>
    <col min="4113" max="4113" width="9.28515625" style="6" bestFit="1" customWidth="1"/>
    <col min="4114" max="4114" width="11.85546875" style="6" bestFit="1" customWidth="1"/>
    <col min="4115" max="4115" width="17.5703125" style="6" bestFit="1" customWidth="1"/>
    <col min="4116" max="4117" width="14.5703125" style="6" bestFit="1" customWidth="1"/>
    <col min="4118" max="4118" width="13.42578125" style="6" bestFit="1" customWidth="1"/>
    <col min="4119" max="4119" width="11.7109375" style="6" bestFit="1" customWidth="1"/>
    <col min="4120" max="4120" width="13.42578125" style="6" bestFit="1" customWidth="1"/>
    <col min="4121" max="4352" width="9.140625" style="6"/>
    <col min="4353" max="4353" width="12.85546875" style="6" customWidth="1"/>
    <col min="4354" max="4354" width="10.7109375" style="6" customWidth="1"/>
    <col min="4355" max="4355" width="8.28515625" style="6" customWidth="1"/>
    <col min="4356" max="4356" width="8.7109375" style="6" customWidth="1"/>
    <col min="4357" max="4357" width="10.7109375" style="6" customWidth="1"/>
    <col min="4358" max="4358" width="8.28515625" style="6" customWidth="1"/>
    <col min="4359" max="4359" width="8.7109375" style="6" customWidth="1"/>
    <col min="4360" max="4360" width="4.140625" style="6" customWidth="1"/>
    <col min="4361" max="4361" width="12.85546875" style="6" customWidth="1"/>
    <col min="4362" max="4362" width="10.7109375" style="6" customWidth="1"/>
    <col min="4363" max="4363" width="8.28515625" style="6" customWidth="1"/>
    <col min="4364" max="4364" width="8.7109375" style="6" customWidth="1"/>
    <col min="4365" max="4365" width="10.7109375" style="6" customWidth="1"/>
    <col min="4366" max="4366" width="8.28515625" style="6" customWidth="1"/>
    <col min="4367" max="4367" width="8.7109375" style="6" customWidth="1"/>
    <col min="4368" max="4368" width="9.140625" style="6"/>
    <col min="4369" max="4369" width="9.28515625" style="6" bestFit="1" customWidth="1"/>
    <col min="4370" max="4370" width="11.85546875" style="6" bestFit="1" customWidth="1"/>
    <col min="4371" max="4371" width="17.5703125" style="6" bestFit="1" customWidth="1"/>
    <col min="4372" max="4373" width="14.5703125" style="6" bestFit="1" customWidth="1"/>
    <col min="4374" max="4374" width="13.42578125" style="6" bestFit="1" customWidth="1"/>
    <col min="4375" max="4375" width="11.7109375" style="6" bestFit="1" customWidth="1"/>
    <col min="4376" max="4376" width="13.42578125" style="6" bestFit="1" customWidth="1"/>
    <col min="4377" max="4608" width="9.140625" style="6"/>
    <col min="4609" max="4609" width="12.85546875" style="6" customWidth="1"/>
    <col min="4610" max="4610" width="10.7109375" style="6" customWidth="1"/>
    <col min="4611" max="4611" width="8.28515625" style="6" customWidth="1"/>
    <col min="4612" max="4612" width="8.7109375" style="6" customWidth="1"/>
    <col min="4613" max="4613" width="10.7109375" style="6" customWidth="1"/>
    <col min="4614" max="4614" width="8.28515625" style="6" customWidth="1"/>
    <col min="4615" max="4615" width="8.7109375" style="6" customWidth="1"/>
    <col min="4616" max="4616" width="4.140625" style="6" customWidth="1"/>
    <col min="4617" max="4617" width="12.85546875" style="6" customWidth="1"/>
    <col min="4618" max="4618" width="10.7109375" style="6" customWidth="1"/>
    <col min="4619" max="4619" width="8.28515625" style="6" customWidth="1"/>
    <col min="4620" max="4620" width="8.7109375" style="6" customWidth="1"/>
    <col min="4621" max="4621" width="10.7109375" style="6" customWidth="1"/>
    <col min="4622" max="4622" width="8.28515625" style="6" customWidth="1"/>
    <col min="4623" max="4623" width="8.7109375" style="6" customWidth="1"/>
    <col min="4624" max="4624" width="9.140625" style="6"/>
    <col min="4625" max="4625" width="9.28515625" style="6" bestFit="1" customWidth="1"/>
    <col min="4626" max="4626" width="11.85546875" style="6" bestFit="1" customWidth="1"/>
    <col min="4627" max="4627" width="17.5703125" style="6" bestFit="1" customWidth="1"/>
    <col min="4628" max="4629" width="14.5703125" style="6" bestFit="1" customWidth="1"/>
    <col min="4630" max="4630" width="13.42578125" style="6" bestFit="1" customWidth="1"/>
    <col min="4631" max="4631" width="11.7109375" style="6" bestFit="1" customWidth="1"/>
    <col min="4632" max="4632" width="13.42578125" style="6" bestFit="1" customWidth="1"/>
    <col min="4633" max="4864" width="9.140625" style="6"/>
    <col min="4865" max="4865" width="12.85546875" style="6" customWidth="1"/>
    <col min="4866" max="4866" width="10.7109375" style="6" customWidth="1"/>
    <col min="4867" max="4867" width="8.28515625" style="6" customWidth="1"/>
    <col min="4868" max="4868" width="8.7109375" style="6" customWidth="1"/>
    <col min="4869" max="4869" width="10.7109375" style="6" customWidth="1"/>
    <col min="4870" max="4870" width="8.28515625" style="6" customWidth="1"/>
    <col min="4871" max="4871" width="8.7109375" style="6" customWidth="1"/>
    <col min="4872" max="4872" width="4.140625" style="6" customWidth="1"/>
    <col min="4873" max="4873" width="12.85546875" style="6" customWidth="1"/>
    <col min="4874" max="4874" width="10.7109375" style="6" customWidth="1"/>
    <col min="4875" max="4875" width="8.28515625" style="6" customWidth="1"/>
    <col min="4876" max="4876" width="8.7109375" style="6" customWidth="1"/>
    <col min="4877" max="4877" width="10.7109375" style="6" customWidth="1"/>
    <col min="4878" max="4878" width="8.28515625" style="6" customWidth="1"/>
    <col min="4879" max="4879" width="8.7109375" style="6" customWidth="1"/>
    <col min="4880" max="4880" width="9.140625" style="6"/>
    <col min="4881" max="4881" width="9.28515625" style="6" bestFit="1" customWidth="1"/>
    <col min="4882" max="4882" width="11.85546875" style="6" bestFit="1" customWidth="1"/>
    <col min="4883" max="4883" width="17.5703125" style="6" bestFit="1" customWidth="1"/>
    <col min="4884" max="4885" width="14.5703125" style="6" bestFit="1" customWidth="1"/>
    <col min="4886" max="4886" width="13.42578125" style="6" bestFit="1" customWidth="1"/>
    <col min="4887" max="4887" width="11.7109375" style="6" bestFit="1" customWidth="1"/>
    <col min="4888" max="4888" width="13.42578125" style="6" bestFit="1" customWidth="1"/>
    <col min="4889" max="5120" width="9.140625" style="6"/>
    <col min="5121" max="5121" width="12.85546875" style="6" customWidth="1"/>
    <col min="5122" max="5122" width="10.7109375" style="6" customWidth="1"/>
    <col min="5123" max="5123" width="8.28515625" style="6" customWidth="1"/>
    <col min="5124" max="5124" width="8.7109375" style="6" customWidth="1"/>
    <col min="5125" max="5125" width="10.7109375" style="6" customWidth="1"/>
    <col min="5126" max="5126" width="8.28515625" style="6" customWidth="1"/>
    <col min="5127" max="5127" width="8.7109375" style="6" customWidth="1"/>
    <col min="5128" max="5128" width="4.140625" style="6" customWidth="1"/>
    <col min="5129" max="5129" width="12.85546875" style="6" customWidth="1"/>
    <col min="5130" max="5130" width="10.7109375" style="6" customWidth="1"/>
    <col min="5131" max="5131" width="8.28515625" style="6" customWidth="1"/>
    <col min="5132" max="5132" width="8.7109375" style="6" customWidth="1"/>
    <col min="5133" max="5133" width="10.7109375" style="6" customWidth="1"/>
    <col min="5134" max="5134" width="8.28515625" style="6" customWidth="1"/>
    <col min="5135" max="5135" width="8.7109375" style="6" customWidth="1"/>
    <col min="5136" max="5136" width="9.140625" style="6"/>
    <col min="5137" max="5137" width="9.28515625" style="6" bestFit="1" customWidth="1"/>
    <col min="5138" max="5138" width="11.85546875" style="6" bestFit="1" customWidth="1"/>
    <col min="5139" max="5139" width="17.5703125" style="6" bestFit="1" customWidth="1"/>
    <col min="5140" max="5141" width="14.5703125" style="6" bestFit="1" customWidth="1"/>
    <col min="5142" max="5142" width="13.42578125" style="6" bestFit="1" customWidth="1"/>
    <col min="5143" max="5143" width="11.7109375" style="6" bestFit="1" customWidth="1"/>
    <col min="5144" max="5144" width="13.42578125" style="6" bestFit="1" customWidth="1"/>
    <col min="5145" max="5376" width="9.140625" style="6"/>
    <col min="5377" max="5377" width="12.85546875" style="6" customWidth="1"/>
    <col min="5378" max="5378" width="10.7109375" style="6" customWidth="1"/>
    <col min="5379" max="5379" width="8.28515625" style="6" customWidth="1"/>
    <col min="5380" max="5380" width="8.7109375" style="6" customWidth="1"/>
    <col min="5381" max="5381" width="10.7109375" style="6" customWidth="1"/>
    <col min="5382" max="5382" width="8.28515625" style="6" customWidth="1"/>
    <col min="5383" max="5383" width="8.7109375" style="6" customWidth="1"/>
    <col min="5384" max="5384" width="4.140625" style="6" customWidth="1"/>
    <col min="5385" max="5385" width="12.85546875" style="6" customWidth="1"/>
    <col min="5386" max="5386" width="10.7109375" style="6" customWidth="1"/>
    <col min="5387" max="5387" width="8.28515625" style="6" customWidth="1"/>
    <col min="5388" max="5388" width="8.7109375" style="6" customWidth="1"/>
    <col min="5389" max="5389" width="10.7109375" style="6" customWidth="1"/>
    <col min="5390" max="5390" width="8.28515625" style="6" customWidth="1"/>
    <col min="5391" max="5391" width="8.7109375" style="6" customWidth="1"/>
    <col min="5392" max="5392" width="9.140625" style="6"/>
    <col min="5393" max="5393" width="9.28515625" style="6" bestFit="1" customWidth="1"/>
    <col min="5394" max="5394" width="11.85546875" style="6" bestFit="1" customWidth="1"/>
    <col min="5395" max="5395" width="17.5703125" style="6" bestFit="1" customWidth="1"/>
    <col min="5396" max="5397" width="14.5703125" style="6" bestFit="1" customWidth="1"/>
    <col min="5398" max="5398" width="13.42578125" style="6" bestFit="1" customWidth="1"/>
    <col min="5399" max="5399" width="11.7109375" style="6" bestFit="1" customWidth="1"/>
    <col min="5400" max="5400" width="13.42578125" style="6" bestFit="1" customWidth="1"/>
    <col min="5401" max="5632" width="9.140625" style="6"/>
    <col min="5633" max="5633" width="12.85546875" style="6" customWidth="1"/>
    <col min="5634" max="5634" width="10.7109375" style="6" customWidth="1"/>
    <col min="5635" max="5635" width="8.28515625" style="6" customWidth="1"/>
    <col min="5636" max="5636" width="8.7109375" style="6" customWidth="1"/>
    <col min="5637" max="5637" width="10.7109375" style="6" customWidth="1"/>
    <col min="5638" max="5638" width="8.28515625" style="6" customWidth="1"/>
    <col min="5639" max="5639" width="8.7109375" style="6" customWidth="1"/>
    <col min="5640" max="5640" width="4.140625" style="6" customWidth="1"/>
    <col min="5641" max="5641" width="12.85546875" style="6" customWidth="1"/>
    <col min="5642" max="5642" width="10.7109375" style="6" customWidth="1"/>
    <col min="5643" max="5643" width="8.28515625" style="6" customWidth="1"/>
    <col min="5644" max="5644" width="8.7109375" style="6" customWidth="1"/>
    <col min="5645" max="5645" width="10.7109375" style="6" customWidth="1"/>
    <col min="5646" max="5646" width="8.28515625" style="6" customWidth="1"/>
    <col min="5647" max="5647" width="8.7109375" style="6" customWidth="1"/>
    <col min="5648" max="5648" width="9.140625" style="6"/>
    <col min="5649" max="5649" width="9.28515625" style="6" bestFit="1" customWidth="1"/>
    <col min="5650" max="5650" width="11.85546875" style="6" bestFit="1" customWidth="1"/>
    <col min="5651" max="5651" width="17.5703125" style="6" bestFit="1" customWidth="1"/>
    <col min="5652" max="5653" width="14.5703125" style="6" bestFit="1" customWidth="1"/>
    <col min="5654" max="5654" width="13.42578125" style="6" bestFit="1" customWidth="1"/>
    <col min="5655" max="5655" width="11.7109375" style="6" bestFit="1" customWidth="1"/>
    <col min="5656" max="5656" width="13.42578125" style="6" bestFit="1" customWidth="1"/>
    <col min="5657" max="5888" width="9.140625" style="6"/>
    <col min="5889" max="5889" width="12.85546875" style="6" customWidth="1"/>
    <col min="5890" max="5890" width="10.7109375" style="6" customWidth="1"/>
    <col min="5891" max="5891" width="8.28515625" style="6" customWidth="1"/>
    <col min="5892" max="5892" width="8.7109375" style="6" customWidth="1"/>
    <col min="5893" max="5893" width="10.7109375" style="6" customWidth="1"/>
    <col min="5894" max="5894" width="8.28515625" style="6" customWidth="1"/>
    <col min="5895" max="5895" width="8.7109375" style="6" customWidth="1"/>
    <col min="5896" max="5896" width="4.140625" style="6" customWidth="1"/>
    <col min="5897" max="5897" width="12.85546875" style="6" customWidth="1"/>
    <col min="5898" max="5898" width="10.7109375" style="6" customWidth="1"/>
    <col min="5899" max="5899" width="8.28515625" style="6" customWidth="1"/>
    <col min="5900" max="5900" width="8.7109375" style="6" customWidth="1"/>
    <col min="5901" max="5901" width="10.7109375" style="6" customWidth="1"/>
    <col min="5902" max="5902" width="8.28515625" style="6" customWidth="1"/>
    <col min="5903" max="5903" width="8.7109375" style="6" customWidth="1"/>
    <col min="5904" max="5904" width="9.140625" style="6"/>
    <col min="5905" max="5905" width="9.28515625" style="6" bestFit="1" customWidth="1"/>
    <col min="5906" max="5906" width="11.85546875" style="6" bestFit="1" customWidth="1"/>
    <col min="5907" max="5907" width="17.5703125" style="6" bestFit="1" customWidth="1"/>
    <col min="5908" max="5909" width="14.5703125" style="6" bestFit="1" customWidth="1"/>
    <col min="5910" max="5910" width="13.42578125" style="6" bestFit="1" customWidth="1"/>
    <col min="5911" max="5911" width="11.7109375" style="6" bestFit="1" customWidth="1"/>
    <col min="5912" max="5912" width="13.42578125" style="6" bestFit="1" customWidth="1"/>
    <col min="5913" max="6144" width="9.140625" style="6"/>
    <col min="6145" max="6145" width="12.85546875" style="6" customWidth="1"/>
    <col min="6146" max="6146" width="10.7109375" style="6" customWidth="1"/>
    <col min="6147" max="6147" width="8.28515625" style="6" customWidth="1"/>
    <col min="6148" max="6148" width="8.7109375" style="6" customWidth="1"/>
    <col min="6149" max="6149" width="10.7109375" style="6" customWidth="1"/>
    <col min="6150" max="6150" width="8.28515625" style="6" customWidth="1"/>
    <col min="6151" max="6151" width="8.7109375" style="6" customWidth="1"/>
    <col min="6152" max="6152" width="4.140625" style="6" customWidth="1"/>
    <col min="6153" max="6153" width="12.85546875" style="6" customWidth="1"/>
    <col min="6154" max="6154" width="10.7109375" style="6" customWidth="1"/>
    <col min="6155" max="6155" width="8.28515625" style="6" customWidth="1"/>
    <col min="6156" max="6156" width="8.7109375" style="6" customWidth="1"/>
    <col min="6157" max="6157" width="10.7109375" style="6" customWidth="1"/>
    <col min="6158" max="6158" width="8.28515625" style="6" customWidth="1"/>
    <col min="6159" max="6159" width="8.7109375" style="6" customWidth="1"/>
    <col min="6160" max="6160" width="9.140625" style="6"/>
    <col min="6161" max="6161" width="9.28515625" style="6" bestFit="1" customWidth="1"/>
    <col min="6162" max="6162" width="11.85546875" style="6" bestFit="1" customWidth="1"/>
    <col min="6163" max="6163" width="17.5703125" style="6" bestFit="1" customWidth="1"/>
    <col min="6164" max="6165" width="14.5703125" style="6" bestFit="1" customWidth="1"/>
    <col min="6166" max="6166" width="13.42578125" style="6" bestFit="1" customWidth="1"/>
    <col min="6167" max="6167" width="11.7109375" style="6" bestFit="1" customWidth="1"/>
    <col min="6168" max="6168" width="13.42578125" style="6" bestFit="1" customWidth="1"/>
    <col min="6169" max="6400" width="9.140625" style="6"/>
    <col min="6401" max="6401" width="12.85546875" style="6" customWidth="1"/>
    <col min="6402" max="6402" width="10.7109375" style="6" customWidth="1"/>
    <col min="6403" max="6403" width="8.28515625" style="6" customWidth="1"/>
    <col min="6404" max="6404" width="8.7109375" style="6" customWidth="1"/>
    <col min="6405" max="6405" width="10.7109375" style="6" customWidth="1"/>
    <col min="6406" max="6406" width="8.28515625" style="6" customWidth="1"/>
    <col min="6407" max="6407" width="8.7109375" style="6" customWidth="1"/>
    <col min="6408" max="6408" width="4.140625" style="6" customWidth="1"/>
    <col min="6409" max="6409" width="12.85546875" style="6" customWidth="1"/>
    <col min="6410" max="6410" width="10.7109375" style="6" customWidth="1"/>
    <col min="6411" max="6411" width="8.28515625" style="6" customWidth="1"/>
    <col min="6412" max="6412" width="8.7109375" style="6" customWidth="1"/>
    <col min="6413" max="6413" width="10.7109375" style="6" customWidth="1"/>
    <col min="6414" max="6414" width="8.28515625" style="6" customWidth="1"/>
    <col min="6415" max="6415" width="8.7109375" style="6" customWidth="1"/>
    <col min="6416" max="6416" width="9.140625" style="6"/>
    <col min="6417" max="6417" width="9.28515625" style="6" bestFit="1" customWidth="1"/>
    <col min="6418" max="6418" width="11.85546875" style="6" bestFit="1" customWidth="1"/>
    <col min="6419" max="6419" width="17.5703125" style="6" bestFit="1" customWidth="1"/>
    <col min="6420" max="6421" width="14.5703125" style="6" bestFit="1" customWidth="1"/>
    <col min="6422" max="6422" width="13.42578125" style="6" bestFit="1" customWidth="1"/>
    <col min="6423" max="6423" width="11.7109375" style="6" bestFit="1" customWidth="1"/>
    <col min="6424" max="6424" width="13.42578125" style="6" bestFit="1" customWidth="1"/>
    <col min="6425" max="6656" width="9.140625" style="6"/>
    <col min="6657" max="6657" width="12.85546875" style="6" customWidth="1"/>
    <col min="6658" max="6658" width="10.7109375" style="6" customWidth="1"/>
    <col min="6659" max="6659" width="8.28515625" style="6" customWidth="1"/>
    <col min="6660" max="6660" width="8.7109375" style="6" customWidth="1"/>
    <col min="6661" max="6661" width="10.7109375" style="6" customWidth="1"/>
    <col min="6662" max="6662" width="8.28515625" style="6" customWidth="1"/>
    <col min="6663" max="6663" width="8.7109375" style="6" customWidth="1"/>
    <col min="6664" max="6664" width="4.140625" style="6" customWidth="1"/>
    <col min="6665" max="6665" width="12.85546875" style="6" customWidth="1"/>
    <col min="6666" max="6666" width="10.7109375" style="6" customWidth="1"/>
    <col min="6667" max="6667" width="8.28515625" style="6" customWidth="1"/>
    <col min="6668" max="6668" width="8.7109375" style="6" customWidth="1"/>
    <col min="6669" max="6669" width="10.7109375" style="6" customWidth="1"/>
    <col min="6670" max="6670" width="8.28515625" style="6" customWidth="1"/>
    <col min="6671" max="6671" width="8.7109375" style="6" customWidth="1"/>
    <col min="6672" max="6672" width="9.140625" style="6"/>
    <col min="6673" max="6673" width="9.28515625" style="6" bestFit="1" customWidth="1"/>
    <col min="6674" max="6674" width="11.85546875" style="6" bestFit="1" customWidth="1"/>
    <col min="6675" max="6675" width="17.5703125" style="6" bestFit="1" customWidth="1"/>
    <col min="6676" max="6677" width="14.5703125" style="6" bestFit="1" customWidth="1"/>
    <col min="6678" max="6678" width="13.42578125" style="6" bestFit="1" customWidth="1"/>
    <col min="6679" max="6679" width="11.7109375" style="6" bestFit="1" customWidth="1"/>
    <col min="6680" max="6680" width="13.42578125" style="6" bestFit="1" customWidth="1"/>
    <col min="6681" max="6912" width="9.140625" style="6"/>
    <col min="6913" max="6913" width="12.85546875" style="6" customWidth="1"/>
    <col min="6914" max="6914" width="10.7109375" style="6" customWidth="1"/>
    <col min="6915" max="6915" width="8.28515625" style="6" customWidth="1"/>
    <col min="6916" max="6916" width="8.7109375" style="6" customWidth="1"/>
    <col min="6917" max="6917" width="10.7109375" style="6" customWidth="1"/>
    <col min="6918" max="6918" width="8.28515625" style="6" customWidth="1"/>
    <col min="6919" max="6919" width="8.7109375" style="6" customWidth="1"/>
    <col min="6920" max="6920" width="4.140625" style="6" customWidth="1"/>
    <col min="6921" max="6921" width="12.85546875" style="6" customWidth="1"/>
    <col min="6922" max="6922" width="10.7109375" style="6" customWidth="1"/>
    <col min="6923" max="6923" width="8.28515625" style="6" customWidth="1"/>
    <col min="6924" max="6924" width="8.7109375" style="6" customWidth="1"/>
    <col min="6925" max="6925" width="10.7109375" style="6" customWidth="1"/>
    <col min="6926" max="6926" width="8.28515625" style="6" customWidth="1"/>
    <col min="6927" max="6927" width="8.7109375" style="6" customWidth="1"/>
    <col min="6928" max="6928" width="9.140625" style="6"/>
    <col min="6929" max="6929" width="9.28515625" style="6" bestFit="1" customWidth="1"/>
    <col min="6930" max="6930" width="11.85546875" style="6" bestFit="1" customWidth="1"/>
    <col min="6931" max="6931" width="17.5703125" style="6" bestFit="1" customWidth="1"/>
    <col min="6932" max="6933" width="14.5703125" style="6" bestFit="1" customWidth="1"/>
    <col min="6934" max="6934" width="13.42578125" style="6" bestFit="1" customWidth="1"/>
    <col min="6935" max="6935" width="11.7109375" style="6" bestFit="1" customWidth="1"/>
    <col min="6936" max="6936" width="13.42578125" style="6" bestFit="1" customWidth="1"/>
    <col min="6937" max="7168" width="9.140625" style="6"/>
    <col min="7169" max="7169" width="12.85546875" style="6" customWidth="1"/>
    <col min="7170" max="7170" width="10.7109375" style="6" customWidth="1"/>
    <col min="7171" max="7171" width="8.28515625" style="6" customWidth="1"/>
    <col min="7172" max="7172" width="8.7109375" style="6" customWidth="1"/>
    <col min="7173" max="7173" width="10.7109375" style="6" customWidth="1"/>
    <col min="7174" max="7174" width="8.28515625" style="6" customWidth="1"/>
    <col min="7175" max="7175" width="8.7109375" style="6" customWidth="1"/>
    <col min="7176" max="7176" width="4.140625" style="6" customWidth="1"/>
    <col min="7177" max="7177" width="12.85546875" style="6" customWidth="1"/>
    <col min="7178" max="7178" width="10.7109375" style="6" customWidth="1"/>
    <col min="7179" max="7179" width="8.28515625" style="6" customWidth="1"/>
    <col min="7180" max="7180" width="8.7109375" style="6" customWidth="1"/>
    <col min="7181" max="7181" width="10.7109375" style="6" customWidth="1"/>
    <col min="7182" max="7182" width="8.28515625" style="6" customWidth="1"/>
    <col min="7183" max="7183" width="8.7109375" style="6" customWidth="1"/>
    <col min="7184" max="7184" width="9.140625" style="6"/>
    <col min="7185" max="7185" width="9.28515625" style="6" bestFit="1" customWidth="1"/>
    <col min="7186" max="7186" width="11.85546875" style="6" bestFit="1" customWidth="1"/>
    <col min="7187" max="7187" width="17.5703125" style="6" bestFit="1" customWidth="1"/>
    <col min="7188" max="7189" width="14.5703125" style="6" bestFit="1" customWidth="1"/>
    <col min="7190" max="7190" width="13.42578125" style="6" bestFit="1" customWidth="1"/>
    <col min="7191" max="7191" width="11.7109375" style="6" bestFit="1" customWidth="1"/>
    <col min="7192" max="7192" width="13.42578125" style="6" bestFit="1" customWidth="1"/>
    <col min="7193" max="7424" width="9.140625" style="6"/>
    <col min="7425" max="7425" width="12.85546875" style="6" customWidth="1"/>
    <col min="7426" max="7426" width="10.7109375" style="6" customWidth="1"/>
    <col min="7427" max="7427" width="8.28515625" style="6" customWidth="1"/>
    <col min="7428" max="7428" width="8.7109375" style="6" customWidth="1"/>
    <col min="7429" max="7429" width="10.7109375" style="6" customWidth="1"/>
    <col min="7430" max="7430" width="8.28515625" style="6" customWidth="1"/>
    <col min="7431" max="7431" width="8.7109375" style="6" customWidth="1"/>
    <col min="7432" max="7432" width="4.140625" style="6" customWidth="1"/>
    <col min="7433" max="7433" width="12.85546875" style="6" customWidth="1"/>
    <col min="7434" max="7434" width="10.7109375" style="6" customWidth="1"/>
    <col min="7435" max="7435" width="8.28515625" style="6" customWidth="1"/>
    <col min="7436" max="7436" width="8.7109375" style="6" customWidth="1"/>
    <col min="7437" max="7437" width="10.7109375" style="6" customWidth="1"/>
    <col min="7438" max="7438" width="8.28515625" style="6" customWidth="1"/>
    <col min="7439" max="7439" width="8.7109375" style="6" customWidth="1"/>
    <col min="7440" max="7440" width="9.140625" style="6"/>
    <col min="7441" max="7441" width="9.28515625" style="6" bestFit="1" customWidth="1"/>
    <col min="7442" max="7442" width="11.85546875" style="6" bestFit="1" customWidth="1"/>
    <col min="7443" max="7443" width="17.5703125" style="6" bestFit="1" customWidth="1"/>
    <col min="7444" max="7445" width="14.5703125" style="6" bestFit="1" customWidth="1"/>
    <col min="7446" max="7446" width="13.42578125" style="6" bestFit="1" customWidth="1"/>
    <col min="7447" max="7447" width="11.7109375" style="6" bestFit="1" customWidth="1"/>
    <col min="7448" max="7448" width="13.42578125" style="6" bestFit="1" customWidth="1"/>
    <col min="7449" max="7680" width="9.140625" style="6"/>
    <col min="7681" max="7681" width="12.85546875" style="6" customWidth="1"/>
    <col min="7682" max="7682" width="10.7109375" style="6" customWidth="1"/>
    <col min="7683" max="7683" width="8.28515625" style="6" customWidth="1"/>
    <col min="7684" max="7684" width="8.7109375" style="6" customWidth="1"/>
    <col min="7685" max="7685" width="10.7109375" style="6" customWidth="1"/>
    <col min="7686" max="7686" width="8.28515625" style="6" customWidth="1"/>
    <col min="7687" max="7687" width="8.7109375" style="6" customWidth="1"/>
    <col min="7688" max="7688" width="4.140625" style="6" customWidth="1"/>
    <col min="7689" max="7689" width="12.85546875" style="6" customWidth="1"/>
    <col min="7690" max="7690" width="10.7109375" style="6" customWidth="1"/>
    <col min="7691" max="7691" width="8.28515625" style="6" customWidth="1"/>
    <col min="7692" max="7692" width="8.7109375" style="6" customWidth="1"/>
    <col min="7693" max="7693" width="10.7109375" style="6" customWidth="1"/>
    <col min="7694" max="7694" width="8.28515625" style="6" customWidth="1"/>
    <col min="7695" max="7695" width="8.7109375" style="6" customWidth="1"/>
    <col min="7696" max="7696" width="9.140625" style="6"/>
    <col min="7697" max="7697" width="9.28515625" style="6" bestFit="1" customWidth="1"/>
    <col min="7698" max="7698" width="11.85546875" style="6" bestFit="1" customWidth="1"/>
    <col min="7699" max="7699" width="17.5703125" style="6" bestFit="1" customWidth="1"/>
    <col min="7700" max="7701" width="14.5703125" style="6" bestFit="1" customWidth="1"/>
    <col min="7702" max="7702" width="13.42578125" style="6" bestFit="1" customWidth="1"/>
    <col min="7703" max="7703" width="11.7109375" style="6" bestFit="1" customWidth="1"/>
    <col min="7704" max="7704" width="13.42578125" style="6" bestFit="1" customWidth="1"/>
    <col min="7705" max="7936" width="9.140625" style="6"/>
    <col min="7937" max="7937" width="12.85546875" style="6" customWidth="1"/>
    <col min="7938" max="7938" width="10.7109375" style="6" customWidth="1"/>
    <col min="7939" max="7939" width="8.28515625" style="6" customWidth="1"/>
    <col min="7940" max="7940" width="8.7109375" style="6" customWidth="1"/>
    <col min="7941" max="7941" width="10.7109375" style="6" customWidth="1"/>
    <col min="7942" max="7942" width="8.28515625" style="6" customWidth="1"/>
    <col min="7943" max="7943" width="8.7109375" style="6" customWidth="1"/>
    <col min="7944" max="7944" width="4.140625" style="6" customWidth="1"/>
    <col min="7945" max="7945" width="12.85546875" style="6" customWidth="1"/>
    <col min="7946" max="7946" width="10.7109375" style="6" customWidth="1"/>
    <col min="7947" max="7947" width="8.28515625" style="6" customWidth="1"/>
    <col min="7948" max="7948" width="8.7109375" style="6" customWidth="1"/>
    <col min="7949" max="7949" width="10.7109375" style="6" customWidth="1"/>
    <col min="7950" max="7950" width="8.28515625" style="6" customWidth="1"/>
    <col min="7951" max="7951" width="8.7109375" style="6" customWidth="1"/>
    <col min="7952" max="7952" width="9.140625" style="6"/>
    <col min="7953" max="7953" width="9.28515625" style="6" bestFit="1" customWidth="1"/>
    <col min="7954" max="7954" width="11.85546875" style="6" bestFit="1" customWidth="1"/>
    <col min="7955" max="7955" width="17.5703125" style="6" bestFit="1" customWidth="1"/>
    <col min="7956" max="7957" width="14.5703125" style="6" bestFit="1" customWidth="1"/>
    <col min="7958" max="7958" width="13.42578125" style="6" bestFit="1" customWidth="1"/>
    <col min="7959" max="7959" width="11.7109375" style="6" bestFit="1" customWidth="1"/>
    <col min="7960" max="7960" width="13.42578125" style="6" bestFit="1" customWidth="1"/>
    <col min="7961" max="8192" width="9.140625" style="6"/>
    <col min="8193" max="8193" width="12.85546875" style="6" customWidth="1"/>
    <col min="8194" max="8194" width="10.7109375" style="6" customWidth="1"/>
    <col min="8195" max="8195" width="8.28515625" style="6" customWidth="1"/>
    <col min="8196" max="8196" width="8.7109375" style="6" customWidth="1"/>
    <col min="8197" max="8197" width="10.7109375" style="6" customWidth="1"/>
    <col min="8198" max="8198" width="8.28515625" style="6" customWidth="1"/>
    <col min="8199" max="8199" width="8.7109375" style="6" customWidth="1"/>
    <col min="8200" max="8200" width="4.140625" style="6" customWidth="1"/>
    <col min="8201" max="8201" width="12.85546875" style="6" customWidth="1"/>
    <col min="8202" max="8202" width="10.7109375" style="6" customWidth="1"/>
    <col min="8203" max="8203" width="8.28515625" style="6" customWidth="1"/>
    <col min="8204" max="8204" width="8.7109375" style="6" customWidth="1"/>
    <col min="8205" max="8205" width="10.7109375" style="6" customWidth="1"/>
    <col min="8206" max="8206" width="8.28515625" style="6" customWidth="1"/>
    <col min="8207" max="8207" width="8.7109375" style="6" customWidth="1"/>
    <col min="8208" max="8208" width="9.140625" style="6"/>
    <col min="8209" max="8209" width="9.28515625" style="6" bestFit="1" customWidth="1"/>
    <col min="8210" max="8210" width="11.85546875" style="6" bestFit="1" customWidth="1"/>
    <col min="8211" max="8211" width="17.5703125" style="6" bestFit="1" customWidth="1"/>
    <col min="8212" max="8213" width="14.5703125" style="6" bestFit="1" customWidth="1"/>
    <col min="8214" max="8214" width="13.42578125" style="6" bestFit="1" customWidth="1"/>
    <col min="8215" max="8215" width="11.7109375" style="6" bestFit="1" customWidth="1"/>
    <col min="8216" max="8216" width="13.42578125" style="6" bestFit="1" customWidth="1"/>
    <col min="8217" max="8448" width="9.140625" style="6"/>
    <col min="8449" max="8449" width="12.85546875" style="6" customWidth="1"/>
    <col min="8450" max="8450" width="10.7109375" style="6" customWidth="1"/>
    <col min="8451" max="8451" width="8.28515625" style="6" customWidth="1"/>
    <col min="8452" max="8452" width="8.7109375" style="6" customWidth="1"/>
    <col min="8453" max="8453" width="10.7109375" style="6" customWidth="1"/>
    <col min="8454" max="8454" width="8.28515625" style="6" customWidth="1"/>
    <col min="8455" max="8455" width="8.7109375" style="6" customWidth="1"/>
    <col min="8456" max="8456" width="4.140625" style="6" customWidth="1"/>
    <col min="8457" max="8457" width="12.85546875" style="6" customWidth="1"/>
    <col min="8458" max="8458" width="10.7109375" style="6" customWidth="1"/>
    <col min="8459" max="8459" width="8.28515625" style="6" customWidth="1"/>
    <col min="8460" max="8460" width="8.7109375" style="6" customWidth="1"/>
    <col min="8461" max="8461" width="10.7109375" style="6" customWidth="1"/>
    <col min="8462" max="8462" width="8.28515625" style="6" customWidth="1"/>
    <col min="8463" max="8463" width="8.7109375" style="6" customWidth="1"/>
    <col min="8464" max="8464" width="9.140625" style="6"/>
    <col min="8465" max="8465" width="9.28515625" style="6" bestFit="1" customWidth="1"/>
    <col min="8466" max="8466" width="11.85546875" style="6" bestFit="1" customWidth="1"/>
    <col min="8467" max="8467" width="17.5703125" style="6" bestFit="1" customWidth="1"/>
    <col min="8468" max="8469" width="14.5703125" style="6" bestFit="1" customWidth="1"/>
    <col min="8470" max="8470" width="13.42578125" style="6" bestFit="1" customWidth="1"/>
    <col min="8471" max="8471" width="11.7109375" style="6" bestFit="1" customWidth="1"/>
    <col min="8472" max="8472" width="13.42578125" style="6" bestFit="1" customWidth="1"/>
    <col min="8473" max="8704" width="9.140625" style="6"/>
    <col min="8705" max="8705" width="12.85546875" style="6" customWidth="1"/>
    <col min="8706" max="8706" width="10.7109375" style="6" customWidth="1"/>
    <col min="8707" max="8707" width="8.28515625" style="6" customWidth="1"/>
    <col min="8708" max="8708" width="8.7109375" style="6" customWidth="1"/>
    <col min="8709" max="8709" width="10.7109375" style="6" customWidth="1"/>
    <col min="8710" max="8710" width="8.28515625" style="6" customWidth="1"/>
    <col min="8711" max="8711" width="8.7109375" style="6" customWidth="1"/>
    <col min="8712" max="8712" width="4.140625" style="6" customWidth="1"/>
    <col min="8713" max="8713" width="12.85546875" style="6" customWidth="1"/>
    <col min="8714" max="8714" width="10.7109375" style="6" customWidth="1"/>
    <col min="8715" max="8715" width="8.28515625" style="6" customWidth="1"/>
    <col min="8716" max="8716" width="8.7109375" style="6" customWidth="1"/>
    <col min="8717" max="8717" width="10.7109375" style="6" customWidth="1"/>
    <col min="8718" max="8718" width="8.28515625" style="6" customWidth="1"/>
    <col min="8719" max="8719" width="8.7109375" style="6" customWidth="1"/>
    <col min="8720" max="8720" width="9.140625" style="6"/>
    <col min="8721" max="8721" width="9.28515625" style="6" bestFit="1" customWidth="1"/>
    <col min="8722" max="8722" width="11.85546875" style="6" bestFit="1" customWidth="1"/>
    <col min="8723" max="8723" width="17.5703125" style="6" bestFit="1" customWidth="1"/>
    <col min="8724" max="8725" width="14.5703125" style="6" bestFit="1" customWidth="1"/>
    <col min="8726" max="8726" width="13.42578125" style="6" bestFit="1" customWidth="1"/>
    <col min="8727" max="8727" width="11.7109375" style="6" bestFit="1" customWidth="1"/>
    <col min="8728" max="8728" width="13.42578125" style="6" bestFit="1" customWidth="1"/>
    <col min="8729" max="8960" width="9.140625" style="6"/>
    <col min="8961" max="8961" width="12.85546875" style="6" customWidth="1"/>
    <col min="8962" max="8962" width="10.7109375" style="6" customWidth="1"/>
    <col min="8963" max="8963" width="8.28515625" style="6" customWidth="1"/>
    <col min="8964" max="8964" width="8.7109375" style="6" customWidth="1"/>
    <col min="8965" max="8965" width="10.7109375" style="6" customWidth="1"/>
    <col min="8966" max="8966" width="8.28515625" style="6" customWidth="1"/>
    <col min="8967" max="8967" width="8.7109375" style="6" customWidth="1"/>
    <col min="8968" max="8968" width="4.140625" style="6" customWidth="1"/>
    <col min="8969" max="8969" width="12.85546875" style="6" customWidth="1"/>
    <col min="8970" max="8970" width="10.7109375" style="6" customWidth="1"/>
    <col min="8971" max="8971" width="8.28515625" style="6" customWidth="1"/>
    <col min="8972" max="8972" width="8.7109375" style="6" customWidth="1"/>
    <col min="8973" max="8973" width="10.7109375" style="6" customWidth="1"/>
    <col min="8974" max="8974" width="8.28515625" style="6" customWidth="1"/>
    <col min="8975" max="8975" width="8.7109375" style="6" customWidth="1"/>
    <col min="8976" max="8976" width="9.140625" style="6"/>
    <col min="8977" max="8977" width="9.28515625" style="6" bestFit="1" customWidth="1"/>
    <col min="8978" max="8978" width="11.85546875" style="6" bestFit="1" customWidth="1"/>
    <col min="8979" max="8979" width="17.5703125" style="6" bestFit="1" customWidth="1"/>
    <col min="8980" max="8981" width="14.5703125" style="6" bestFit="1" customWidth="1"/>
    <col min="8982" max="8982" width="13.42578125" style="6" bestFit="1" customWidth="1"/>
    <col min="8983" max="8983" width="11.7109375" style="6" bestFit="1" customWidth="1"/>
    <col min="8984" max="8984" width="13.42578125" style="6" bestFit="1" customWidth="1"/>
    <col min="8985" max="9216" width="9.140625" style="6"/>
    <col min="9217" max="9217" width="12.85546875" style="6" customWidth="1"/>
    <col min="9218" max="9218" width="10.7109375" style="6" customWidth="1"/>
    <col min="9219" max="9219" width="8.28515625" style="6" customWidth="1"/>
    <col min="9220" max="9220" width="8.7109375" style="6" customWidth="1"/>
    <col min="9221" max="9221" width="10.7109375" style="6" customWidth="1"/>
    <col min="9222" max="9222" width="8.28515625" style="6" customWidth="1"/>
    <col min="9223" max="9223" width="8.7109375" style="6" customWidth="1"/>
    <col min="9224" max="9224" width="4.140625" style="6" customWidth="1"/>
    <col min="9225" max="9225" width="12.85546875" style="6" customWidth="1"/>
    <col min="9226" max="9226" width="10.7109375" style="6" customWidth="1"/>
    <col min="9227" max="9227" width="8.28515625" style="6" customWidth="1"/>
    <col min="9228" max="9228" width="8.7109375" style="6" customWidth="1"/>
    <col min="9229" max="9229" width="10.7109375" style="6" customWidth="1"/>
    <col min="9230" max="9230" width="8.28515625" style="6" customWidth="1"/>
    <col min="9231" max="9231" width="8.7109375" style="6" customWidth="1"/>
    <col min="9232" max="9232" width="9.140625" style="6"/>
    <col min="9233" max="9233" width="9.28515625" style="6" bestFit="1" customWidth="1"/>
    <col min="9234" max="9234" width="11.85546875" style="6" bestFit="1" customWidth="1"/>
    <col min="9235" max="9235" width="17.5703125" style="6" bestFit="1" customWidth="1"/>
    <col min="9236" max="9237" width="14.5703125" style="6" bestFit="1" customWidth="1"/>
    <col min="9238" max="9238" width="13.42578125" style="6" bestFit="1" customWidth="1"/>
    <col min="9239" max="9239" width="11.7109375" style="6" bestFit="1" customWidth="1"/>
    <col min="9240" max="9240" width="13.42578125" style="6" bestFit="1" customWidth="1"/>
    <col min="9241" max="9472" width="9.140625" style="6"/>
    <col min="9473" max="9473" width="12.85546875" style="6" customWidth="1"/>
    <col min="9474" max="9474" width="10.7109375" style="6" customWidth="1"/>
    <col min="9475" max="9475" width="8.28515625" style="6" customWidth="1"/>
    <col min="9476" max="9476" width="8.7109375" style="6" customWidth="1"/>
    <col min="9477" max="9477" width="10.7109375" style="6" customWidth="1"/>
    <col min="9478" max="9478" width="8.28515625" style="6" customWidth="1"/>
    <col min="9479" max="9479" width="8.7109375" style="6" customWidth="1"/>
    <col min="9480" max="9480" width="4.140625" style="6" customWidth="1"/>
    <col min="9481" max="9481" width="12.85546875" style="6" customWidth="1"/>
    <col min="9482" max="9482" width="10.7109375" style="6" customWidth="1"/>
    <col min="9483" max="9483" width="8.28515625" style="6" customWidth="1"/>
    <col min="9484" max="9484" width="8.7109375" style="6" customWidth="1"/>
    <col min="9485" max="9485" width="10.7109375" style="6" customWidth="1"/>
    <col min="9486" max="9486" width="8.28515625" style="6" customWidth="1"/>
    <col min="9487" max="9487" width="8.7109375" style="6" customWidth="1"/>
    <col min="9488" max="9488" width="9.140625" style="6"/>
    <col min="9489" max="9489" width="9.28515625" style="6" bestFit="1" customWidth="1"/>
    <col min="9490" max="9490" width="11.85546875" style="6" bestFit="1" customWidth="1"/>
    <col min="9491" max="9491" width="17.5703125" style="6" bestFit="1" customWidth="1"/>
    <col min="9492" max="9493" width="14.5703125" style="6" bestFit="1" customWidth="1"/>
    <col min="9494" max="9494" width="13.42578125" style="6" bestFit="1" customWidth="1"/>
    <col min="9495" max="9495" width="11.7109375" style="6" bestFit="1" customWidth="1"/>
    <col min="9496" max="9496" width="13.42578125" style="6" bestFit="1" customWidth="1"/>
    <col min="9497" max="9728" width="9.140625" style="6"/>
    <col min="9729" max="9729" width="12.85546875" style="6" customWidth="1"/>
    <col min="9730" max="9730" width="10.7109375" style="6" customWidth="1"/>
    <col min="9731" max="9731" width="8.28515625" style="6" customWidth="1"/>
    <col min="9732" max="9732" width="8.7109375" style="6" customWidth="1"/>
    <col min="9733" max="9733" width="10.7109375" style="6" customWidth="1"/>
    <col min="9734" max="9734" width="8.28515625" style="6" customWidth="1"/>
    <col min="9735" max="9735" width="8.7109375" style="6" customWidth="1"/>
    <col min="9736" max="9736" width="4.140625" style="6" customWidth="1"/>
    <col min="9737" max="9737" width="12.85546875" style="6" customWidth="1"/>
    <col min="9738" max="9738" width="10.7109375" style="6" customWidth="1"/>
    <col min="9739" max="9739" width="8.28515625" style="6" customWidth="1"/>
    <col min="9740" max="9740" width="8.7109375" style="6" customWidth="1"/>
    <col min="9741" max="9741" width="10.7109375" style="6" customWidth="1"/>
    <col min="9742" max="9742" width="8.28515625" style="6" customWidth="1"/>
    <col min="9743" max="9743" width="8.7109375" style="6" customWidth="1"/>
    <col min="9744" max="9744" width="9.140625" style="6"/>
    <col min="9745" max="9745" width="9.28515625" style="6" bestFit="1" customWidth="1"/>
    <col min="9746" max="9746" width="11.85546875" style="6" bestFit="1" customWidth="1"/>
    <col min="9747" max="9747" width="17.5703125" style="6" bestFit="1" customWidth="1"/>
    <col min="9748" max="9749" width="14.5703125" style="6" bestFit="1" customWidth="1"/>
    <col min="9750" max="9750" width="13.42578125" style="6" bestFit="1" customWidth="1"/>
    <col min="9751" max="9751" width="11.7109375" style="6" bestFit="1" customWidth="1"/>
    <col min="9752" max="9752" width="13.42578125" style="6" bestFit="1" customWidth="1"/>
    <col min="9753" max="9984" width="9.140625" style="6"/>
    <col min="9985" max="9985" width="12.85546875" style="6" customWidth="1"/>
    <col min="9986" max="9986" width="10.7109375" style="6" customWidth="1"/>
    <col min="9987" max="9987" width="8.28515625" style="6" customWidth="1"/>
    <col min="9988" max="9988" width="8.7109375" style="6" customWidth="1"/>
    <col min="9989" max="9989" width="10.7109375" style="6" customWidth="1"/>
    <col min="9990" max="9990" width="8.28515625" style="6" customWidth="1"/>
    <col min="9991" max="9991" width="8.7109375" style="6" customWidth="1"/>
    <col min="9992" max="9992" width="4.140625" style="6" customWidth="1"/>
    <col min="9993" max="9993" width="12.85546875" style="6" customWidth="1"/>
    <col min="9994" max="9994" width="10.7109375" style="6" customWidth="1"/>
    <col min="9995" max="9995" width="8.28515625" style="6" customWidth="1"/>
    <col min="9996" max="9996" width="8.7109375" style="6" customWidth="1"/>
    <col min="9997" max="9997" width="10.7109375" style="6" customWidth="1"/>
    <col min="9998" max="9998" width="8.28515625" style="6" customWidth="1"/>
    <col min="9999" max="9999" width="8.7109375" style="6" customWidth="1"/>
    <col min="10000" max="10000" width="9.140625" style="6"/>
    <col min="10001" max="10001" width="9.28515625" style="6" bestFit="1" customWidth="1"/>
    <col min="10002" max="10002" width="11.85546875" style="6" bestFit="1" customWidth="1"/>
    <col min="10003" max="10003" width="17.5703125" style="6" bestFit="1" customWidth="1"/>
    <col min="10004" max="10005" width="14.5703125" style="6" bestFit="1" customWidth="1"/>
    <col min="10006" max="10006" width="13.42578125" style="6" bestFit="1" customWidth="1"/>
    <col min="10007" max="10007" width="11.7109375" style="6" bestFit="1" customWidth="1"/>
    <col min="10008" max="10008" width="13.42578125" style="6" bestFit="1" customWidth="1"/>
    <col min="10009" max="10240" width="9.140625" style="6"/>
    <col min="10241" max="10241" width="12.85546875" style="6" customWidth="1"/>
    <col min="10242" max="10242" width="10.7109375" style="6" customWidth="1"/>
    <col min="10243" max="10243" width="8.28515625" style="6" customWidth="1"/>
    <col min="10244" max="10244" width="8.7109375" style="6" customWidth="1"/>
    <col min="10245" max="10245" width="10.7109375" style="6" customWidth="1"/>
    <col min="10246" max="10246" width="8.28515625" style="6" customWidth="1"/>
    <col min="10247" max="10247" width="8.7109375" style="6" customWidth="1"/>
    <col min="10248" max="10248" width="4.140625" style="6" customWidth="1"/>
    <col min="10249" max="10249" width="12.85546875" style="6" customWidth="1"/>
    <col min="10250" max="10250" width="10.7109375" style="6" customWidth="1"/>
    <col min="10251" max="10251" width="8.28515625" style="6" customWidth="1"/>
    <col min="10252" max="10252" width="8.7109375" style="6" customWidth="1"/>
    <col min="10253" max="10253" width="10.7109375" style="6" customWidth="1"/>
    <col min="10254" max="10254" width="8.28515625" style="6" customWidth="1"/>
    <col min="10255" max="10255" width="8.7109375" style="6" customWidth="1"/>
    <col min="10256" max="10256" width="9.140625" style="6"/>
    <col min="10257" max="10257" width="9.28515625" style="6" bestFit="1" customWidth="1"/>
    <col min="10258" max="10258" width="11.85546875" style="6" bestFit="1" customWidth="1"/>
    <col min="10259" max="10259" width="17.5703125" style="6" bestFit="1" customWidth="1"/>
    <col min="10260" max="10261" width="14.5703125" style="6" bestFit="1" customWidth="1"/>
    <col min="10262" max="10262" width="13.42578125" style="6" bestFit="1" customWidth="1"/>
    <col min="10263" max="10263" width="11.7109375" style="6" bestFit="1" customWidth="1"/>
    <col min="10264" max="10264" width="13.42578125" style="6" bestFit="1" customWidth="1"/>
    <col min="10265" max="10496" width="9.140625" style="6"/>
    <col min="10497" max="10497" width="12.85546875" style="6" customWidth="1"/>
    <col min="10498" max="10498" width="10.7109375" style="6" customWidth="1"/>
    <col min="10499" max="10499" width="8.28515625" style="6" customWidth="1"/>
    <col min="10500" max="10500" width="8.7109375" style="6" customWidth="1"/>
    <col min="10501" max="10501" width="10.7109375" style="6" customWidth="1"/>
    <col min="10502" max="10502" width="8.28515625" style="6" customWidth="1"/>
    <col min="10503" max="10503" width="8.7109375" style="6" customWidth="1"/>
    <col min="10504" max="10504" width="4.140625" style="6" customWidth="1"/>
    <col min="10505" max="10505" width="12.85546875" style="6" customWidth="1"/>
    <col min="10506" max="10506" width="10.7109375" style="6" customWidth="1"/>
    <col min="10507" max="10507" width="8.28515625" style="6" customWidth="1"/>
    <col min="10508" max="10508" width="8.7109375" style="6" customWidth="1"/>
    <col min="10509" max="10509" width="10.7109375" style="6" customWidth="1"/>
    <col min="10510" max="10510" width="8.28515625" style="6" customWidth="1"/>
    <col min="10511" max="10511" width="8.7109375" style="6" customWidth="1"/>
    <col min="10512" max="10512" width="9.140625" style="6"/>
    <col min="10513" max="10513" width="9.28515625" style="6" bestFit="1" customWidth="1"/>
    <col min="10514" max="10514" width="11.85546875" style="6" bestFit="1" customWidth="1"/>
    <col min="10515" max="10515" width="17.5703125" style="6" bestFit="1" customWidth="1"/>
    <col min="10516" max="10517" width="14.5703125" style="6" bestFit="1" customWidth="1"/>
    <col min="10518" max="10518" width="13.42578125" style="6" bestFit="1" customWidth="1"/>
    <col min="10519" max="10519" width="11.7109375" style="6" bestFit="1" customWidth="1"/>
    <col min="10520" max="10520" width="13.42578125" style="6" bestFit="1" customWidth="1"/>
    <col min="10521" max="10752" width="9.140625" style="6"/>
    <col min="10753" max="10753" width="12.85546875" style="6" customWidth="1"/>
    <col min="10754" max="10754" width="10.7109375" style="6" customWidth="1"/>
    <col min="10755" max="10755" width="8.28515625" style="6" customWidth="1"/>
    <col min="10756" max="10756" width="8.7109375" style="6" customWidth="1"/>
    <col min="10757" max="10757" width="10.7109375" style="6" customWidth="1"/>
    <col min="10758" max="10758" width="8.28515625" style="6" customWidth="1"/>
    <col min="10759" max="10759" width="8.7109375" style="6" customWidth="1"/>
    <col min="10760" max="10760" width="4.140625" style="6" customWidth="1"/>
    <col min="10761" max="10761" width="12.85546875" style="6" customWidth="1"/>
    <col min="10762" max="10762" width="10.7109375" style="6" customWidth="1"/>
    <col min="10763" max="10763" width="8.28515625" style="6" customWidth="1"/>
    <col min="10764" max="10764" width="8.7109375" style="6" customWidth="1"/>
    <col min="10765" max="10765" width="10.7109375" style="6" customWidth="1"/>
    <col min="10766" max="10766" width="8.28515625" style="6" customWidth="1"/>
    <col min="10767" max="10767" width="8.7109375" style="6" customWidth="1"/>
    <col min="10768" max="10768" width="9.140625" style="6"/>
    <col min="10769" max="10769" width="9.28515625" style="6" bestFit="1" customWidth="1"/>
    <col min="10770" max="10770" width="11.85546875" style="6" bestFit="1" customWidth="1"/>
    <col min="10771" max="10771" width="17.5703125" style="6" bestFit="1" customWidth="1"/>
    <col min="10772" max="10773" width="14.5703125" style="6" bestFit="1" customWidth="1"/>
    <col min="10774" max="10774" width="13.42578125" style="6" bestFit="1" customWidth="1"/>
    <col min="10775" max="10775" width="11.7109375" style="6" bestFit="1" customWidth="1"/>
    <col min="10776" max="10776" width="13.42578125" style="6" bestFit="1" customWidth="1"/>
    <col min="10777" max="11008" width="9.140625" style="6"/>
    <col min="11009" max="11009" width="12.85546875" style="6" customWidth="1"/>
    <col min="11010" max="11010" width="10.7109375" style="6" customWidth="1"/>
    <col min="11011" max="11011" width="8.28515625" style="6" customWidth="1"/>
    <col min="11012" max="11012" width="8.7109375" style="6" customWidth="1"/>
    <col min="11013" max="11013" width="10.7109375" style="6" customWidth="1"/>
    <col min="11014" max="11014" width="8.28515625" style="6" customWidth="1"/>
    <col min="11015" max="11015" width="8.7109375" style="6" customWidth="1"/>
    <col min="11016" max="11016" width="4.140625" style="6" customWidth="1"/>
    <col min="11017" max="11017" width="12.85546875" style="6" customWidth="1"/>
    <col min="11018" max="11018" width="10.7109375" style="6" customWidth="1"/>
    <col min="11019" max="11019" width="8.28515625" style="6" customWidth="1"/>
    <col min="11020" max="11020" width="8.7109375" style="6" customWidth="1"/>
    <col min="11021" max="11021" width="10.7109375" style="6" customWidth="1"/>
    <col min="11022" max="11022" width="8.28515625" style="6" customWidth="1"/>
    <col min="11023" max="11023" width="8.7109375" style="6" customWidth="1"/>
    <col min="11024" max="11024" width="9.140625" style="6"/>
    <col min="11025" max="11025" width="9.28515625" style="6" bestFit="1" customWidth="1"/>
    <col min="11026" max="11026" width="11.85546875" style="6" bestFit="1" customWidth="1"/>
    <col min="11027" max="11027" width="17.5703125" style="6" bestFit="1" customWidth="1"/>
    <col min="11028" max="11029" width="14.5703125" style="6" bestFit="1" customWidth="1"/>
    <col min="11030" max="11030" width="13.42578125" style="6" bestFit="1" customWidth="1"/>
    <col min="11031" max="11031" width="11.7109375" style="6" bestFit="1" customWidth="1"/>
    <col min="11032" max="11032" width="13.42578125" style="6" bestFit="1" customWidth="1"/>
    <col min="11033" max="11264" width="9.140625" style="6"/>
    <col min="11265" max="11265" width="12.85546875" style="6" customWidth="1"/>
    <col min="11266" max="11266" width="10.7109375" style="6" customWidth="1"/>
    <col min="11267" max="11267" width="8.28515625" style="6" customWidth="1"/>
    <col min="11268" max="11268" width="8.7109375" style="6" customWidth="1"/>
    <col min="11269" max="11269" width="10.7109375" style="6" customWidth="1"/>
    <col min="11270" max="11270" width="8.28515625" style="6" customWidth="1"/>
    <col min="11271" max="11271" width="8.7109375" style="6" customWidth="1"/>
    <col min="11272" max="11272" width="4.140625" style="6" customWidth="1"/>
    <col min="11273" max="11273" width="12.85546875" style="6" customWidth="1"/>
    <col min="11274" max="11274" width="10.7109375" style="6" customWidth="1"/>
    <col min="11275" max="11275" width="8.28515625" style="6" customWidth="1"/>
    <col min="11276" max="11276" width="8.7109375" style="6" customWidth="1"/>
    <col min="11277" max="11277" width="10.7109375" style="6" customWidth="1"/>
    <col min="11278" max="11278" width="8.28515625" style="6" customWidth="1"/>
    <col min="11279" max="11279" width="8.7109375" style="6" customWidth="1"/>
    <col min="11280" max="11280" width="9.140625" style="6"/>
    <col min="11281" max="11281" width="9.28515625" style="6" bestFit="1" customWidth="1"/>
    <col min="11282" max="11282" width="11.85546875" style="6" bestFit="1" customWidth="1"/>
    <col min="11283" max="11283" width="17.5703125" style="6" bestFit="1" customWidth="1"/>
    <col min="11284" max="11285" width="14.5703125" style="6" bestFit="1" customWidth="1"/>
    <col min="11286" max="11286" width="13.42578125" style="6" bestFit="1" customWidth="1"/>
    <col min="11287" max="11287" width="11.7109375" style="6" bestFit="1" customWidth="1"/>
    <col min="11288" max="11288" width="13.42578125" style="6" bestFit="1" customWidth="1"/>
    <col min="11289" max="11520" width="9.140625" style="6"/>
    <col min="11521" max="11521" width="12.85546875" style="6" customWidth="1"/>
    <col min="11522" max="11522" width="10.7109375" style="6" customWidth="1"/>
    <col min="11523" max="11523" width="8.28515625" style="6" customWidth="1"/>
    <col min="11524" max="11524" width="8.7109375" style="6" customWidth="1"/>
    <col min="11525" max="11525" width="10.7109375" style="6" customWidth="1"/>
    <col min="11526" max="11526" width="8.28515625" style="6" customWidth="1"/>
    <col min="11527" max="11527" width="8.7109375" style="6" customWidth="1"/>
    <col min="11528" max="11528" width="4.140625" style="6" customWidth="1"/>
    <col min="11529" max="11529" width="12.85546875" style="6" customWidth="1"/>
    <col min="11530" max="11530" width="10.7109375" style="6" customWidth="1"/>
    <col min="11531" max="11531" width="8.28515625" style="6" customWidth="1"/>
    <col min="11532" max="11532" width="8.7109375" style="6" customWidth="1"/>
    <col min="11533" max="11533" width="10.7109375" style="6" customWidth="1"/>
    <col min="11534" max="11534" width="8.28515625" style="6" customWidth="1"/>
    <col min="11535" max="11535" width="8.7109375" style="6" customWidth="1"/>
    <col min="11536" max="11536" width="9.140625" style="6"/>
    <col min="11537" max="11537" width="9.28515625" style="6" bestFit="1" customWidth="1"/>
    <col min="11538" max="11538" width="11.85546875" style="6" bestFit="1" customWidth="1"/>
    <col min="11539" max="11539" width="17.5703125" style="6" bestFit="1" customWidth="1"/>
    <col min="11540" max="11541" width="14.5703125" style="6" bestFit="1" customWidth="1"/>
    <col min="11542" max="11542" width="13.42578125" style="6" bestFit="1" customWidth="1"/>
    <col min="11543" max="11543" width="11.7109375" style="6" bestFit="1" customWidth="1"/>
    <col min="11544" max="11544" width="13.42578125" style="6" bestFit="1" customWidth="1"/>
    <col min="11545" max="11776" width="9.140625" style="6"/>
    <col min="11777" max="11777" width="12.85546875" style="6" customWidth="1"/>
    <col min="11778" max="11778" width="10.7109375" style="6" customWidth="1"/>
    <col min="11779" max="11779" width="8.28515625" style="6" customWidth="1"/>
    <col min="11780" max="11780" width="8.7109375" style="6" customWidth="1"/>
    <col min="11781" max="11781" width="10.7109375" style="6" customWidth="1"/>
    <col min="11782" max="11782" width="8.28515625" style="6" customWidth="1"/>
    <col min="11783" max="11783" width="8.7109375" style="6" customWidth="1"/>
    <col min="11784" max="11784" width="4.140625" style="6" customWidth="1"/>
    <col min="11785" max="11785" width="12.85546875" style="6" customWidth="1"/>
    <col min="11786" max="11786" width="10.7109375" style="6" customWidth="1"/>
    <col min="11787" max="11787" width="8.28515625" style="6" customWidth="1"/>
    <col min="11788" max="11788" width="8.7109375" style="6" customWidth="1"/>
    <col min="11789" max="11789" width="10.7109375" style="6" customWidth="1"/>
    <col min="11790" max="11790" width="8.28515625" style="6" customWidth="1"/>
    <col min="11791" max="11791" width="8.7109375" style="6" customWidth="1"/>
    <col min="11792" max="11792" width="9.140625" style="6"/>
    <col min="11793" max="11793" width="9.28515625" style="6" bestFit="1" customWidth="1"/>
    <col min="11794" max="11794" width="11.85546875" style="6" bestFit="1" customWidth="1"/>
    <col min="11795" max="11795" width="17.5703125" style="6" bestFit="1" customWidth="1"/>
    <col min="11796" max="11797" width="14.5703125" style="6" bestFit="1" customWidth="1"/>
    <col min="11798" max="11798" width="13.42578125" style="6" bestFit="1" customWidth="1"/>
    <col min="11799" max="11799" width="11.7109375" style="6" bestFit="1" customWidth="1"/>
    <col min="11800" max="11800" width="13.42578125" style="6" bestFit="1" customWidth="1"/>
    <col min="11801" max="12032" width="9.140625" style="6"/>
    <col min="12033" max="12033" width="12.85546875" style="6" customWidth="1"/>
    <col min="12034" max="12034" width="10.7109375" style="6" customWidth="1"/>
    <col min="12035" max="12035" width="8.28515625" style="6" customWidth="1"/>
    <col min="12036" max="12036" width="8.7109375" style="6" customWidth="1"/>
    <col min="12037" max="12037" width="10.7109375" style="6" customWidth="1"/>
    <col min="12038" max="12038" width="8.28515625" style="6" customWidth="1"/>
    <col min="12039" max="12039" width="8.7109375" style="6" customWidth="1"/>
    <col min="12040" max="12040" width="4.140625" style="6" customWidth="1"/>
    <col min="12041" max="12041" width="12.85546875" style="6" customWidth="1"/>
    <col min="12042" max="12042" width="10.7109375" style="6" customWidth="1"/>
    <col min="12043" max="12043" width="8.28515625" style="6" customWidth="1"/>
    <col min="12044" max="12044" width="8.7109375" style="6" customWidth="1"/>
    <col min="12045" max="12045" width="10.7109375" style="6" customWidth="1"/>
    <col min="12046" max="12046" width="8.28515625" style="6" customWidth="1"/>
    <col min="12047" max="12047" width="8.7109375" style="6" customWidth="1"/>
    <col min="12048" max="12048" width="9.140625" style="6"/>
    <col min="12049" max="12049" width="9.28515625" style="6" bestFit="1" customWidth="1"/>
    <col min="12050" max="12050" width="11.85546875" style="6" bestFit="1" customWidth="1"/>
    <col min="12051" max="12051" width="17.5703125" style="6" bestFit="1" customWidth="1"/>
    <col min="12052" max="12053" width="14.5703125" style="6" bestFit="1" customWidth="1"/>
    <col min="12054" max="12054" width="13.42578125" style="6" bestFit="1" customWidth="1"/>
    <col min="12055" max="12055" width="11.7109375" style="6" bestFit="1" customWidth="1"/>
    <col min="12056" max="12056" width="13.42578125" style="6" bestFit="1" customWidth="1"/>
    <col min="12057" max="12288" width="9.140625" style="6"/>
    <col min="12289" max="12289" width="12.85546875" style="6" customWidth="1"/>
    <col min="12290" max="12290" width="10.7109375" style="6" customWidth="1"/>
    <col min="12291" max="12291" width="8.28515625" style="6" customWidth="1"/>
    <col min="12292" max="12292" width="8.7109375" style="6" customWidth="1"/>
    <col min="12293" max="12293" width="10.7109375" style="6" customWidth="1"/>
    <col min="12294" max="12294" width="8.28515625" style="6" customWidth="1"/>
    <col min="12295" max="12295" width="8.7109375" style="6" customWidth="1"/>
    <col min="12296" max="12296" width="4.140625" style="6" customWidth="1"/>
    <col min="12297" max="12297" width="12.85546875" style="6" customWidth="1"/>
    <col min="12298" max="12298" width="10.7109375" style="6" customWidth="1"/>
    <col min="12299" max="12299" width="8.28515625" style="6" customWidth="1"/>
    <col min="12300" max="12300" width="8.7109375" style="6" customWidth="1"/>
    <col min="12301" max="12301" width="10.7109375" style="6" customWidth="1"/>
    <col min="12302" max="12302" width="8.28515625" style="6" customWidth="1"/>
    <col min="12303" max="12303" width="8.7109375" style="6" customWidth="1"/>
    <col min="12304" max="12304" width="9.140625" style="6"/>
    <col min="12305" max="12305" width="9.28515625" style="6" bestFit="1" customWidth="1"/>
    <col min="12306" max="12306" width="11.85546875" style="6" bestFit="1" customWidth="1"/>
    <col min="12307" max="12307" width="17.5703125" style="6" bestFit="1" customWidth="1"/>
    <col min="12308" max="12309" width="14.5703125" style="6" bestFit="1" customWidth="1"/>
    <col min="12310" max="12310" width="13.42578125" style="6" bestFit="1" customWidth="1"/>
    <col min="12311" max="12311" width="11.7109375" style="6" bestFit="1" customWidth="1"/>
    <col min="12312" max="12312" width="13.42578125" style="6" bestFit="1" customWidth="1"/>
    <col min="12313" max="12544" width="9.140625" style="6"/>
    <col min="12545" max="12545" width="12.85546875" style="6" customWidth="1"/>
    <col min="12546" max="12546" width="10.7109375" style="6" customWidth="1"/>
    <col min="12547" max="12547" width="8.28515625" style="6" customWidth="1"/>
    <col min="12548" max="12548" width="8.7109375" style="6" customWidth="1"/>
    <col min="12549" max="12549" width="10.7109375" style="6" customWidth="1"/>
    <col min="12550" max="12550" width="8.28515625" style="6" customWidth="1"/>
    <col min="12551" max="12551" width="8.7109375" style="6" customWidth="1"/>
    <col min="12552" max="12552" width="4.140625" style="6" customWidth="1"/>
    <col min="12553" max="12553" width="12.85546875" style="6" customWidth="1"/>
    <col min="12554" max="12554" width="10.7109375" style="6" customWidth="1"/>
    <col min="12555" max="12555" width="8.28515625" style="6" customWidth="1"/>
    <col min="12556" max="12556" width="8.7109375" style="6" customWidth="1"/>
    <col min="12557" max="12557" width="10.7109375" style="6" customWidth="1"/>
    <col min="12558" max="12558" width="8.28515625" style="6" customWidth="1"/>
    <col min="12559" max="12559" width="8.7109375" style="6" customWidth="1"/>
    <col min="12560" max="12560" width="9.140625" style="6"/>
    <col min="12561" max="12561" width="9.28515625" style="6" bestFit="1" customWidth="1"/>
    <col min="12562" max="12562" width="11.85546875" style="6" bestFit="1" customWidth="1"/>
    <col min="12563" max="12563" width="17.5703125" style="6" bestFit="1" customWidth="1"/>
    <col min="12564" max="12565" width="14.5703125" style="6" bestFit="1" customWidth="1"/>
    <col min="12566" max="12566" width="13.42578125" style="6" bestFit="1" customWidth="1"/>
    <col min="12567" max="12567" width="11.7109375" style="6" bestFit="1" customWidth="1"/>
    <col min="12568" max="12568" width="13.42578125" style="6" bestFit="1" customWidth="1"/>
    <col min="12569" max="12800" width="9.140625" style="6"/>
    <col min="12801" max="12801" width="12.85546875" style="6" customWidth="1"/>
    <col min="12802" max="12802" width="10.7109375" style="6" customWidth="1"/>
    <col min="12803" max="12803" width="8.28515625" style="6" customWidth="1"/>
    <col min="12804" max="12804" width="8.7109375" style="6" customWidth="1"/>
    <col min="12805" max="12805" width="10.7109375" style="6" customWidth="1"/>
    <col min="12806" max="12806" width="8.28515625" style="6" customWidth="1"/>
    <col min="12807" max="12807" width="8.7109375" style="6" customWidth="1"/>
    <col min="12808" max="12808" width="4.140625" style="6" customWidth="1"/>
    <col min="12809" max="12809" width="12.85546875" style="6" customWidth="1"/>
    <col min="12810" max="12810" width="10.7109375" style="6" customWidth="1"/>
    <col min="12811" max="12811" width="8.28515625" style="6" customWidth="1"/>
    <col min="12812" max="12812" width="8.7109375" style="6" customWidth="1"/>
    <col min="12813" max="12813" width="10.7109375" style="6" customWidth="1"/>
    <col min="12814" max="12814" width="8.28515625" style="6" customWidth="1"/>
    <col min="12815" max="12815" width="8.7109375" style="6" customWidth="1"/>
    <col min="12816" max="12816" width="9.140625" style="6"/>
    <col min="12817" max="12817" width="9.28515625" style="6" bestFit="1" customWidth="1"/>
    <col min="12818" max="12818" width="11.85546875" style="6" bestFit="1" customWidth="1"/>
    <col min="12819" max="12819" width="17.5703125" style="6" bestFit="1" customWidth="1"/>
    <col min="12820" max="12821" width="14.5703125" style="6" bestFit="1" customWidth="1"/>
    <col min="12822" max="12822" width="13.42578125" style="6" bestFit="1" customWidth="1"/>
    <col min="12823" max="12823" width="11.7109375" style="6" bestFit="1" customWidth="1"/>
    <col min="12824" max="12824" width="13.42578125" style="6" bestFit="1" customWidth="1"/>
    <col min="12825" max="13056" width="9.140625" style="6"/>
    <col min="13057" max="13057" width="12.85546875" style="6" customWidth="1"/>
    <col min="13058" max="13058" width="10.7109375" style="6" customWidth="1"/>
    <col min="13059" max="13059" width="8.28515625" style="6" customWidth="1"/>
    <col min="13060" max="13060" width="8.7109375" style="6" customWidth="1"/>
    <col min="13061" max="13061" width="10.7109375" style="6" customWidth="1"/>
    <col min="13062" max="13062" width="8.28515625" style="6" customWidth="1"/>
    <col min="13063" max="13063" width="8.7109375" style="6" customWidth="1"/>
    <col min="13064" max="13064" width="4.140625" style="6" customWidth="1"/>
    <col min="13065" max="13065" width="12.85546875" style="6" customWidth="1"/>
    <col min="13066" max="13066" width="10.7109375" style="6" customWidth="1"/>
    <col min="13067" max="13067" width="8.28515625" style="6" customWidth="1"/>
    <col min="13068" max="13068" width="8.7109375" style="6" customWidth="1"/>
    <col min="13069" max="13069" width="10.7109375" style="6" customWidth="1"/>
    <col min="13070" max="13070" width="8.28515625" style="6" customWidth="1"/>
    <col min="13071" max="13071" width="8.7109375" style="6" customWidth="1"/>
    <col min="13072" max="13072" width="9.140625" style="6"/>
    <col min="13073" max="13073" width="9.28515625" style="6" bestFit="1" customWidth="1"/>
    <col min="13074" max="13074" width="11.85546875" style="6" bestFit="1" customWidth="1"/>
    <col min="13075" max="13075" width="17.5703125" style="6" bestFit="1" customWidth="1"/>
    <col min="13076" max="13077" width="14.5703125" style="6" bestFit="1" customWidth="1"/>
    <col min="13078" max="13078" width="13.42578125" style="6" bestFit="1" customWidth="1"/>
    <col min="13079" max="13079" width="11.7109375" style="6" bestFit="1" customWidth="1"/>
    <col min="13080" max="13080" width="13.42578125" style="6" bestFit="1" customWidth="1"/>
    <col min="13081" max="13312" width="9.140625" style="6"/>
    <col min="13313" max="13313" width="12.85546875" style="6" customWidth="1"/>
    <col min="13314" max="13314" width="10.7109375" style="6" customWidth="1"/>
    <col min="13315" max="13315" width="8.28515625" style="6" customWidth="1"/>
    <col min="13316" max="13316" width="8.7109375" style="6" customWidth="1"/>
    <col min="13317" max="13317" width="10.7109375" style="6" customWidth="1"/>
    <col min="13318" max="13318" width="8.28515625" style="6" customWidth="1"/>
    <col min="13319" max="13319" width="8.7109375" style="6" customWidth="1"/>
    <col min="13320" max="13320" width="4.140625" style="6" customWidth="1"/>
    <col min="13321" max="13321" width="12.85546875" style="6" customWidth="1"/>
    <col min="13322" max="13322" width="10.7109375" style="6" customWidth="1"/>
    <col min="13323" max="13323" width="8.28515625" style="6" customWidth="1"/>
    <col min="13324" max="13324" width="8.7109375" style="6" customWidth="1"/>
    <col min="13325" max="13325" width="10.7109375" style="6" customWidth="1"/>
    <col min="13326" max="13326" width="8.28515625" style="6" customWidth="1"/>
    <col min="13327" max="13327" width="8.7109375" style="6" customWidth="1"/>
    <col min="13328" max="13328" width="9.140625" style="6"/>
    <col min="13329" max="13329" width="9.28515625" style="6" bestFit="1" customWidth="1"/>
    <col min="13330" max="13330" width="11.85546875" style="6" bestFit="1" customWidth="1"/>
    <col min="13331" max="13331" width="17.5703125" style="6" bestFit="1" customWidth="1"/>
    <col min="13332" max="13333" width="14.5703125" style="6" bestFit="1" customWidth="1"/>
    <col min="13334" max="13334" width="13.42578125" style="6" bestFit="1" customWidth="1"/>
    <col min="13335" max="13335" width="11.7109375" style="6" bestFit="1" customWidth="1"/>
    <col min="13336" max="13336" width="13.42578125" style="6" bestFit="1" customWidth="1"/>
    <col min="13337" max="13568" width="9.140625" style="6"/>
    <col min="13569" max="13569" width="12.85546875" style="6" customWidth="1"/>
    <col min="13570" max="13570" width="10.7109375" style="6" customWidth="1"/>
    <col min="13571" max="13571" width="8.28515625" style="6" customWidth="1"/>
    <col min="13572" max="13572" width="8.7109375" style="6" customWidth="1"/>
    <col min="13573" max="13573" width="10.7109375" style="6" customWidth="1"/>
    <col min="13574" max="13574" width="8.28515625" style="6" customWidth="1"/>
    <col min="13575" max="13575" width="8.7109375" style="6" customWidth="1"/>
    <col min="13576" max="13576" width="4.140625" style="6" customWidth="1"/>
    <col min="13577" max="13577" width="12.85546875" style="6" customWidth="1"/>
    <col min="13578" max="13578" width="10.7109375" style="6" customWidth="1"/>
    <col min="13579" max="13579" width="8.28515625" style="6" customWidth="1"/>
    <col min="13580" max="13580" width="8.7109375" style="6" customWidth="1"/>
    <col min="13581" max="13581" width="10.7109375" style="6" customWidth="1"/>
    <col min="13582" max="13582" width="8.28515625" style="6" customWidth="1"/>
    <col min="13583" max="13583" width="8.7109375" style="6" customWidth="1"/>
    <col min="13584" max="13584" width="9.140625" style="6"/>
    <col min="13585" max="13585" width="9.28515625" style="6" bestFit="1" customWidth="1"/>
    <col min="13586" max="13586" width="11.85546875" style="6" bestFit="1" customWidth="1"/>
    <col min="13587" max="13587" width="17.5703125" style="6" bestFit="1" customWidth="1"/>
    <col min="13588" max="13589" width="14.5703125" style="6" bestFit="1" customWidth="1"/>
    <col min="13590" max="13590" width="13.42578125" style="6" bestFit="1" customWidth="1"/>
    <col min="13591" max="13591" width="11.7109375" style="6" bestFit="1" customWidth="1"/>
    <col min="13592" max="13592" width="13.42578125" style="6" bestFit="1" customWidth="1"/>
    <col min="13593" max="13824" width="9.140625" style="6"/>
    <col min="13825" max="13825" width="12.85546875" style="6" customWidth="1"/>
    <col min="13826" max="13826" width="10.7109375" style="6" customWidth="1"/>
    <col min="13827" max="13827" width="8.28515625" style="6" customWidth="1"/>
    <col min="13828" max="13828" width="8.7109375" style="6" customWidth="1"/>
    <col min="13829" max="13829" width="10.7109375" style="6" customWidth="1"/>
    <col min="13830" max="13830" width="8.28515625" style="6" customWidth="1"/>
    <col min="13831" max="13831" width="8.7109375" style="6" customWidth="1"/>
    <col min="13832" max="13832" width="4.140625" style="6" customWidth="1"/>
    <col min="13833" max="13833" width="12.85546875" style="6" customWidth="1"/>
    <col min="13834" max="13834" width="10.7109375" style="6" customWidth="1"/>
    <col min="13835" max="13835" width="8.28515625" style="6" customWidth="1"/>
    <col min="13836" max="13836" width="8.7109375" style="6" customWidth="1"/>
    <col min="13837" max="13837" width="10.7109375" style="6" customWidth="1"/>
    <col min="13838" max="13838" width="8.28515625" style="6" customWidth="1"/>
    <col min="13839" max="13839" width="8.7109375" style="6" customWidth="1"/>
    <col min="13840" max="13840" width="9.140625" style="6"/>
    <col min="13841" max="13841" width="9.28515625" style="6" bestFit="1" customWidth="1"/>
    <col min="13842" max="13842" width="11.85546875" style="6" bestFit="1" customWidth="1"/>
    <col min="13843" max="13843" width="17.5703125" style="6" bestFit="1" customWidth="1"/>
    <col min="13844" max="13845" width="14.5703125" style="6" bestFit="1" customWidth="1"/>
    <col min="13846" max="13846" width="13.42578125" style="6" bestFit="1" customWidth="1"/>
    <col min="13847" max="13847" width="11.7109375" style="6" bestFit="1" customWidth="1"/>
    <col min="13848" max="13848" width="13.42578125" style="6" bestFit="1" customWidth="1"/>
    <col min="13849" max="14080" width="9.140625" style="6"/>
    <col min="14081" max="14081" width="12.85546875" style="6" customWidth="1"/>
    <col min="14082" max="14082" width="10.7109375" style="6" customWidth="1"/>
    <col min="14083" max="14083" width="8.28515625" style="6" customWidth="1"/>
    <col min="14084" max="14084" width="8.7109375" style="6" customWidth="1"/>
    <col min="14085" max="14085" width="10.7109375" style="6" customWidth="1"/>
    <col min="14086" max="14086" width="8.28515625" style="6" customWidth="1"/>
    <col min="14087" max="14087" width="8.7109375" style="6" customWidth="1"/>
    <col min="14088" max="14088" width="4.140625" style="6" customWidth="1"/>
    <col min="14089" max="14089" width="12.85546875" style="6" customWidth="1"/>
    <col min="14090" max="14090" width="10.7109375" style="6" customWidth="1"/>
    <col min="14091" max="14091" width="8.28515625" style="6" customWidth="1"/>
    <col min="14092" max="14092" width="8.7109375" style="6" customWidth="1"/>
    <col min="14093" max="14093" width="10.7109375" style="6" customWidth="1"/>
    <col min="14094" max="14094" width="8.28515625" style="6" customWidth="1"/>
    <col min="14095" max="14095" width="8.7109375" style="6" customWidth="1"/>
    <col min="14096" max="14096" width="9.140625" style="6"/>
    <col min="14097" max="14097" width="9.28515625" style="6" bestFit="1" customWidth="1"/>
    <col min="14098" max="14098" width="11.85546875" style="6" bestFit="1" customWidth="1"/>
    <col min="14099" max="14099" width="17.5703125" style="6" bestFit="1" customWidth="1"/>
    <col min="14100" max="14101" width="14.5703125" style="6" bestFit="1" customWidth="1"/>
    <col min="14102" max="14102" width="13.42578125" style="6" bestFit="1" customWidth="1"/>
    <col min="14103" max="14103" width="11.7109375" style="6" bestFit="1" customWidth="1"/>
    <col min="14104" max="14104" width="13.42578125" style="6" bestFit="1" customWidth="1"/>
    <col min="14105" max="14336" width="9.140625" style="6"/>
    <col min="14337" max="14337" width="12.85546875" style="6" customWidth="1"/>
    <col min="14338" max="14338" width="10.7109375" style="6" customWidth="1"/>
    <col min="14339" max="14339" width="8.28515625" style="6" customWidth="1"/>
    <col min="14340" max="14340" width="8.7109375" style="6" customWidth="1"/>
    <col min="14341" max="14341" width="10.7109375" style="6" customWidth="1"/>
    <col min="14342" max="14342" width="8.28515625" style="6" customWidth="1"/>
    <col min="14343" max="14343" width="8.7109375" style="6" customWidth="1"/>
    <col min="14344" max="14344" width="4.140625" style="6" customWidth="1"/>
    <col min="14345" max="14345" width="12.85546875" style="6" customWidth="1"/>
    <col min="14346" max="14346" width="10.7109375" style="6" customWidth="1"/>
    <col min="14347" max="14347" width="8.28515625" style="6" customWidth="1"/>
    <col min="14348" max="14348" width="8.7109375" style="6" customWidth="1"/>
    <col min="14349" max="14349" width="10.7109375" style="6" customWidth="1"/>
    <col min="14350" max="14350" width="8.28515625" style="6" customWidth="1"/>
    <col min="14351" max="14351" width="8.7109375" style="6" customWidth="1"/>
    <col min="14352" max="14352" width="9.140625" style="6"/>
    <col min="14353" max="14353" width="9.28515625" style="6" bestFit="1" customWidth="1"/>
    <col min="14354" max="14354" width="11.85546875" style="6" bestFit="1" customWidth="1"/>
    <col min="14355" max="14355" width="17.5703125" style="6" bestFit="1" customWidth="1"/>
    <col min="14356" max="14357" width="14.5703125" style="6" bestFit="1" customWidth="1"/>
    <col min="14358" max="14358" width="13.42578125" style="6" bestFit="1" customWidth="1"/>
    <col min="14359" max="14359" width="11.7109375" style="6" bestFit="1" customWidth="1"/>
    <col min="14360" max="14360" width="13.42578125" style="6" bestFit="1" customWidth="1"/>
    <col min="14361" max="14592" width="9.140625" style="6"/>
    <col min="14593" max="14593" width="12.85546875" style="6" customWidth="1"/>
    <col min="14594" max="14594" width="10.7109375" style="6" customWidth="1"/>
    <col min="14595" max="14595" width="8.28515625" style="6" customWidth="1"/>
    <col min="14596" max="14596" width="8.7109375" style="6" customWidth="1"/>
    <col min="14597" max="14597" width="10.7109375" style="6" customWidth="1"/>
    <col min="14598" max="14598" width="8.28515625" style="6" customWidth="1"/>
    <col min="14599" max="14599" width="8.7109375" style="6" customWidth="1"/>
    <col min="14600" max="14600" width="4.140625" style="6" customWidth="1"/>
    <col min="14601" max="14601" width="12.85546875" style="6" customWidth="1"/>
    <col min="14602" max="14602" width="10.7109375" style="6" customWidth="1"/>
    <col min="14603" max="14603" width="8.28515625" style="6" customWidth="1"/>
    <col min="14604" max="14604" width="8.7109375" style="6" customWidth="1"/>
    <col min="14605" max="14605" width="10.7109375" style="6" customWidth="1"/>
    <col min="14606" max="14606" width="8.28515625" style="6" customWidth="1"/>
    <col min="14607" max="14607" width="8.7109375" style="6" customWidth="1"/>
    <col min="14608" max="14608" width="9.140625" style="6"/>
    <col min="14609" max="14609" width="9.28515625" style="6" bestFit="1" customWidth="1"/>
    <col min="14610" max="14610" width="11.85546875" style="6" bestFit="1" customWidth="1"/>
    <col min="14611" max="14611" width="17.5703125" style="6" bestFit="1" customWidth="1"/>
    <col min="14612" max="14613" width="14.5703125" style="6" bestFit="1" customWidth="1"/>
    <col min="14614" max="14614" width="13.42578125" style="6" bestFit="1" customWidth="1"/>
    <col min="14615" max="14615" width="11.7109375" style="6" bestFit="1" customWidth="1"/>
    <col min="14616" max="14616" width="13.42578125" style="6" bestFit="1" customWidth="1"/>
    <col min="14617" max="14848" width="9.140625" style="6"/>
    <col min="14849" max="14849" width="12.85546875" style="6" customWidth="1"/>
    <col min="14850" max="14850" width="10.7109375" style="6" customWidth="1"/>
    <col min="14851" max="14851" width="8.28515625" style="6" customWidth="1"/>
    <col min="14852" max="14852" width="8.7109375" style="6" customWidth="1"/>
    <col min="14853" max="14853" width="10.7109375" style="6" customWidth="1"/>
    <col min="14854" max="14854" width="8.28515625" style="6" customWidth="1"/>
    <col min="14855" max="14855" width="8.7109375" style="6" customWidth="1"/>
    <col min="14856" max="14856" width="4.140625" style="6" customWidth="1"/>
    <col min="14857" max="14857" width="12.85546875" style="6" customWidth="1"/>
    <col min="14858" max="14858" width="10.7109375" style="6" customWidth="1"/>
    <col min="14859" max="14859" width="8.28515625" style="6" customWidth="1"/>
    <col min="14860" max="14860" width="8.7109375" style="6" customWidth="1"/>
    <col min="14861" max="14861" width="10.7109375" style="6" customWidth="1"/>
    <col min="14862" max="14862" width="8.28515625" style="6" customWidth="1"/>
    <col min="14863" max="14863" width="8.7109375" style="6" customWidth="1"/>
    <col min="14864" max="14864" width="9.140625" style="6"/>
    <col min="14865" max="14865" width="9.28515625" style="6" bestFit="1" customWidth="1"/>
    <col min="14866" max="14866" width="11.85546875" style="6" bestFit="1" customWidth="1"/>
    <col min="14867" max="14867" width="17.5703125" style="6" bestFit="1" customWidth="1"/>
    <col min="14868" max="14869" width="14.5703125" style="6" bestFit="1" customWidth="1"/>
    <col min="14870" max="14870" width="13.42578125" style="6" bestFit="1" customWidth="1"/>
    <col min="14871" max="14871" width="11.7109375" style="6" bestFit="1" customWidth="1"/>
    <col min="14872" max="14872" width="13.42578125" style="6" bestFit="1" customWidth="1"/>
    <col min="14873" max="15104" width="9.140625" style="6"/>
    <col min="15105" max="15105" width="12.85546875" style="6" customWidth="1"/>
    <col min="15106" max="15106" width="10.7109375" style="6" customWidth="1"/>
    <col min="15107" max="15107" width="8.28515625" style="6" customWidth="1"/>
    <col min="15108" max="15108" width="8.7109375" style="6" customWidth="1"/>
    <col min="15109" max="15109" width="10.7109375" style="6" customWidth="1"/>
    <col min="15110" max="15110" width="8.28515625" style="6" customWidth="1"/>
    <col min="15111" max="15111" width="8.7109375" style="6" customWidth="1"/>
    <col min="15112" max="15112" width="4.140625" style="6" customWidth="1"/>
    <col min="15113" max="15113" width="12.85546875" style="6" customWidth="1"/>
    <col min="15114" max="15114" width="10.7109375" style="6" customWidth="1"/>
    <col min="15115" max="15115" width="8.28515625" style="6" customWidth="1"/>
    <col min="15116" max="15116" width="8.7109375" style="6" customWidth="1"/>
    <col min="15117" max="15117" width="10.7109375" style="6" customWidth="1"/>
    <col min="15118" max="15118" width="8.28515625" style="6" customWidth="1"/>
    <col min="15119" max="15119" width="8.7109375" style="6" customWidth="1"/>
    <col min="15120" max="15120" width="9.140625" style="6"/>
    <col min="15121" max="15121" width="9.28515625" style="6" bestFit="1" customWidth="1"/>
    <col min="15122" max="15122" width="11.85546875" style="6" bestFit="1" customWidth="1"/>
    <col min="15123" max="15123" width="17.5703125" style="6" bestFit="1" customWidth="1"/>
    <col min="15124" max="15125" width="14.5703125" style="6" bestFit="1" customWidth="1"/>
    <col min="15126" max="15126" width="13.42578125" style="6" bestFit="1" customWidth="1"/>
    <col min="15127" max="15127" width="11.7109375" style="6" bestFit="1" customWidth="1"/>
    <col min="15128" max="15128" width="13.42578125" style="6" bestFit="1" customWidth="1"/>
    <col min="15129" max="15360" width="9.140625" style="6"/>
    <col min="15361" max="15361" width="12.85546875" style="6" customWidth="1"/>
    <col min="15362" max="15362" width="10.7109375" style="6" customWidth="1"/>
    <col min="15363" max="15363" width="8.28515625" style="6" customWidth="1"/>
    <col min="15364" max="15364" width="8.7109375" style="6" customWidth="1"/>
    <col min="15365" max="15365" width="10.7109375" style="6" customWidth="1"/>
    <col min="15366" max="15366" width="8.28515625" style="6" customWidth="1"/>
    <col min="15367" max="15367" width="8.7109375" style="6" customWidth="1"/>
    <col min="15368" max="15368" width="4.140625" style="6" customWidth="1"/>
    <col min="15369" max="15369" width="12.85546875" style="6" customWidth="1"/>
    <col min="15370" max="15370" width="10.7109375" style="6" customWidth="1"/>
    <col min="15371" max="15371" width="8.28515625" style="6" customWidth="1"/>
    <col min="15372" max="15372" width="8.7109375" style="6" customWidth="1"/>
    <col min="15373" max="15373" width="10.7109375" style="6" customWidth="1"/>
    <col min="15374" max="15374" width="8.28515625" style="6" customWidth="1"/>
    <col min="15375" max="15375" width="8.7109375" style="6" customWidth="1"/>
    <col min="15376" max="15376" width="9.140625" style="6"/>
    <col min="15377" max="15377" width="9.28515625" style="6" bestFit="1" customWidth="1"/>
    <col min="15378" max="15378" width="11.85546875" style="6" bestFit="1" customWidth="1"/>
    <col min="15379" max="15379" width="17.5703125" style="6" bestFit="1" customWidth="1"/>
    <col min="15380" max="15381" width="14.5703125" style="6" bestFit="1" customWidth="1"/>
    <col min="15382" max="15382" width="13.42578125" style="6" bestFit="1" customWidth="1"/>
    <col min="15383" max="15383" width="11.7109375" style="6" bestFit="1" customWidth="1"/>
    <col min="15384" max="15384" width="13.42578125" style="6" bestFit="1" customWidth="1"/>
    <col min="15385" max="15616" width="9.140625" style="6"/>
    <col min="15617" max="15617" width="12.85546875" style="6" customWidth="1"/>
    <col min="15618" max="15618" width="10.7109375" style="6" customWidth="1"/>
    <col min="15619" max="15619" width="8.28515625" style="6" customWidth="1"/>
    <col min="15620" max="15620" width="8.7109375" style="6" customWidth="1"/>
    <col min="15621" max="15621" width="10.7109375" style="6" customWidth="1"/>
    <col min="15622" max="15622" width="8.28515625" style="6" customWidth="1"/>
    <col min="15623" max="15623" width="8.7109375" style="6" customWidth="1"/>
    <col min="15624" max="15624" width="4.140625" style="6" customWidth="1"/>
    <col min="15625" max="15625" width="12.85546875" style="6" customWidth="1"/>
    <col min="15626" max="15626" width="10.7109375" style="6" customWidth="1"/>
    <col min="15627" max="15627" width="8.28515625" style="6" customWidth="1"/>
    <col min="15628" max="15628" width="8.7109375" style="6" customWidth="1"/>
    <col min="15629" max="15629" width="10.7109375" style="6" customWidth="1"/>
    <col min="15630" max="15630" width="8.28515625" style="6" customWidth="1"/>
    <col min="15631" max="15631" width="8.7109375" style="6" customWidth="1"/>
    <col min="15632" max="15632" width="9.140625" style="6"/>
    <col min="15633" max="15633" width="9.28515625" style="6" bestFit="1" customWidth="1"/>
    <col min="15634" max="15634" width="11.85546875" style="6" bestFit="1" customWidth="1"/>
    <col min="15635" max="15635" width="17.5703125" style="6" bestFit="1" customWidth="1"/>
    <col min="15636" max="15637" width="14.5703125" style="6" bestFit="1" customWidth="1"/>
    <col min="15638" max="15638" width="13.42578125" style="6" bestFit="1" customWidth="1"/>
    <col min="15639" max="15639" width="11.7109375" style="6" bestFit="1" customWidth="1"/>
    <col min="15640" max="15640" width="13.42578125" style="6" bestFit="1" customWidth="1"/>
    <col min="15641" max="15872" width="9.140625" style="6"/>
    <col min="15873" max="15873" width="12.85546875" style="6" customWidth="1"/>
    <col min="15874" max="15874" width="10.7109375" style="6" customWidth="1"/>
    <col min="15875" max="15875" width="8.28515625" style="6" customWidth="1"/>
    <col min="15876" max="15876" width="8.7109375" style="6" customWidth="1"/>
    <col min="15877" max="15877" width="10.7109375" style="6" customWidth="1"/>
    <col min="15878" max="15878" width="8.28515625" style="6" customWidth="1"/>
    <col min="15879" max="15879" width="8.7109375" style="6" customWidth="1"/>
    <col min="15880" max="15880" width="4.140625" style="6" customWidth="1"/>
    <col min="15881" max="15881" width="12.85546875" style="6" customWidth="1"/>
    <col min="15882" max="15882" width="10.7109375" style="6" customWidth="1"/>
    <col min="15883" max="15883" width="8.28515625" style="6" customWidth="1"/>
    <col min="15884" max="15884" width="8.7109375" style="6" customWidth="1"/>
    <col min="15885" max="15885" width="10.7109375" style="6" customWidth="1"/>
    <col min="15886" max="15886" width="8.28515625" style="6" customWidth="1"/>
    <col min="15887" max="15887" width="8.7109375" style="6" customWidth="1"/>
    <col min="15888" max="15888" width="9.140625" style="6"/>
    <col min="15889" max="15889" width="9.28515625" style="6" bestFit="1" customWidth="1"/>
    <col min="15890" max="15890" width="11.85546875" style="6" bestFit="1" customWidth="1"/>
    <col min="15891" max="15891" width="17.5703125" style="6" bestFit="1" customWidth="1"/>
    <col min="15892" max="15893" width="14.5703125" style="6" bestFit="1" customWidth="1"/>
    <col min="15894" max="15894" width="13.42578125" style="6" bestFit="1" customWidth="1"/>
    <col min="15895" max="15895" width="11.7109375" style="6" bestFit="1" customWidth="1"/>
    <col min="15896" max="15896" width="13.42578125" style="6" bestFit="1" customWidth="1"/>
    <col min="15897" max="16128" width="9.140625" style="6"/>
    <col min="16129" max="16129" width="12.85546875" style="6" customWidth="1"/>
    <col min="16130" max="16130" width="10.7109375" style="6" customWidth="1"/>
    <col min="16131" max="16131" width="8.28515625" style="6" customWidth="1"/>
    <col min="16132" max="16132" width="8.7109375" style="6" customWidth="1"/>
    <col min="16133" max="16133" width="10.7109375" style="6" customWidth="1"/>
    <col min="16134" max="16134" width="8.28515625" style="6" customWidth="1"/>
    <col min="16135" max="16135" width="8.7109375" style="6" customWidth="1"/>
    <col min="16136" max="16136" width="4.140625" style="6" customWidth="1"/>
    <col min="16137" max="16137" width="12.85546875" style="6" customWidth="1"/>
    <col min="16138" max="16138" width="10.7109375" style="6" customWidth="1"/>
    <col min="16139" max="16139" width="8.28515625" style="6" customWidth="1"/>
    <col min="16140" max="16140" width="8.7109375" style="6" customWidth="1"/>
    <col min="16141" max="16141" width="10.7109375" style="6" customWidth="1"/>
    <col min="16142" max="16142" width="8.28515625" style="6" customWidth="1"/>
    <col min="16143" max="16143" width="8.7109375" style="6" customWidth="1"/>
    <col min="16144" max="16144" width="9.140625" style="6"/>
    <col min="16145" max="16145" width="9.28515625" style="6" bestFit="1" customWidth="1"/>
    <col min="16146" max="16146" width="11.85546875" style="6" bestFit="1" customWidth="1"/>
    <col min="16147" max="16147" width="17.5703125" style="6" bestFit="1" customWidth="1"/>
    <col min="16148" max="16149" width="14.5703125" style="6" bestFit="1" customWidth="1"/>
    <col min="16150" max="16150" width="13.42578125" style="6" bestFit="1" customWidth="1"/>
    <col min="16151" max="16151" width="11.7109375" style="6" bestFit="1" customWidth="1"/>
    <col min="16152" max="16152" width="13.42578125" style="6" bestFit="1" customWidth="1"/>
    <col min="16153" max="16384" width="9.140625" style="6"/>
  </cols>
  <sheetData>
    <row r="1" spans="1:31" ht="18" customHeight="1" x14ac:dyDescent="0.2">
      <c r="A1" s="5" t="s">
        <v>626</v>
      </c>
      <c r="Q1" s="6"/>
      <c r="R1" s="6"/>
      <c r="Y1" s="601" t="s">
        <v>89</v>
      </c>
      <c r="Z1" s="602" t="s">
        <v>90</v>
      </c>
      <c r="AA1" s="602" t="s">
        <v>91</v>
      </c>
      <c r="AB1" s="602" t="s">
        <v>92</v>
      </c>
      <c r="AC1" s="602" t="s">
        <v>90</v>
      </c>
      <c r="AD1" s="602" t="s">
        <v>91</v>
      </c>
      <c r="AE1" s="602" t="s">
        <v>92</v>
      </c>
    </row>
    <row r="2" spans="1:31" ht="5.0999999999999996" customHeight="1" x14ac:dyDescent="0.2">
      <c r="H2" s="9"/>
      <c r="Q2" s="6"/>
      <c r="R2" s="6"/>
      <c r="Y2" s="601"/>
      <c r="Z2" s="602"/>
      <c r="AA2" s="602"/>
      <c r="AB2" s="602"/>
      <c r="AC2" s="602"/>
      <c r="AD2" s="602"/>
      <c r="AE2" s="602"/>
    </row>
    <row r="3" spans="1:31" ht="12.75" customHeight="1" thickBot="1" x14ac:dyDescent="0.25">
      <c r="A3" s="717" t="s">
        <v>4</v>
      </c>
      <c r="B3" s="717"/>
      <c r="C3" s="717"/>
      <c r="D3" s="717"/>
      <c r="E3" s="717"/>
      <c r="F3" s="717"/>
      <c r="G3" s="717"/>
      <c r="I3" s="718" t="s">
        <v>5</v>
      </c>
      <c r="J3" s="718"/>
      <c r="K3" s="718"/>
      <c r="L3" s="718"/>
      <c r="M3" s="718"/>
      <c r="N3" s="718"/>
      <c r="O3" s="718"/>
      <c r="P3" s="8"/>
      <c r="Q3" s="358">
        <v>18</v>
      </c>
      <c r="R3" s="359">
        <f>196+32254</f>
        <v>32450</v>
      </c>
      <c r="S3" s="603">
        <f>133+23429</f>
        <v>23562</v>
      </c>
      <c r="T3" s="603">
        <f>121+22237</f>
        <v>22358</v>
      </c>
      <c r="U3" s="604">
        <f>1+495</f>
        <v>496</v>
      </c>
      <c r="V3" s="604">
        <f>2+225</f>
        <v>227</v>
      </c>
      <c r="W3" s="604">
        <f>2+181</f>
        <v>183</v>
      </c>
    </row>
    <row r="4" spans="1:31" ht="39" thickTop="1" x14ac:dyDescent="0.2">
      <c r="A4" s="360" t="s">
        <v>93</v>
      </c>
      <c r="B4" s="361" t="s">
        <v>94</v>
      </c>
      <c r="C4" s="362" t="s">
        <v>95</v>
      </c>
      <c r="D4" s="363" t="s">
        <v>96</v>
      </c>
      <c r="E4" s="364" t="s">
        <v>94</v>
      </c>
      <c r="F4" s="362" t="s">
        <v>95</v>
      </c>
      <c r="G4" s="365" t="s">
        <v>96</v>
      </c>
      <c r="I4" s="360" t="s">
        <v>97</v>
      </c>
      <c r="J4" s="361" t="s">
        <v>94</v>
      </c>
      <c r="K4" s="362" t="s">
        <v>95</v>
      </c>
      <c r="L4" s="363" t="s">
        <v>96</v>
      </c>
      <c r="M4" s="364" t="s">
        <v>94</v>
      </c>
      <c r="N4" s="362" t="s">
        <v>95</v>
      </c>
      <c r="O4" s="365" t="s">
        <v>96</v>
      </c>
      <c r="P4" s="8"/>
      <c r="Q4" s="358">
        <v>19</v>
      </c>
      <c r="R4" s="359">
        <v>24051</v>
      </c>
      <c r="S4" s="603">
        <v>15139</v>
      </c>
      <c r="T4" s="603">
        <v>14234</v>
      </c>
      <c r="U4" s="604">
        <v>1003</v>
      </c>
      <c r="V4" s="604">
        <v>471</v>
      </c>
      <c r="W4" s="604">
        <v>404</v>
      </c>
    </row>
    <row r="5" spans="1:31" ht="13.5" thickBot="1" x14ac:dyDescent="0.25">
      <c r="A5" s="366"/>
      <c r="B5" s="367" t="s">
        <v>98</v>
      </c>
      <c r="C5" s="368"/>
      <c r="D5" s="369"/>
      <c r="E5" s="370" t="s">
        <v>99</v>
      </c>
      <c r="F5" s="368"/>
      <c r="G5" s="371"/>
      <c r="I5" s="366"/>
      <c r="J5" s="367" t="s">
        <v>98</v>
      </c>
      <c r="K5" s="368"/>
      <c r="L5" s="369"/>
      <c r="M5" s="370" t="s">
        <v>99</v>
      </c>
      <c r="N5" s="368"/>
      <c r="O5" s="371"/>
      <c r="P5" s="8"/>
      <c r="Q5" s="358">
        <v>20</v>
      </c>
      <c r="R5" s="359">
        <v>12424</v>
      </c>
      <c r="S5" s="603">
        <v>6574</v>
      </c>
      <c r="T5" s="603">
        <v>6167</v>
      </c>
      <c r="U5" s="604">
        <v>1331</v>
      </c>
      <c r="V5" s="604">
        <v>571</v>
      </c>
      <c r="W5" s="604">
        <v>516</v>
      </c>
    </row>
    <row r="6" spans="1:31" ht="13.5" thickTop="1" x14ac:dyDescent="0.2">
      <c r="A6" s="372">
        <v>18</v>
      </c>
      <c r="B6" s="617">
        <v>0.35840116632243957</v>
      </c>
      <c r="C6" s="618">
        <v>0.43103322113273818</v>
      </c>
      <c r="D6" s="619">
        <v>0.43556525296604393</v>
      </c>
      <c r="E6" s="620">
        <v>2.7766892459273357E-2</v>
      </c>
      <c r="F6" s="618">
        <v>3.2746682054241201E-2</v>
      </c>
      <c r="G6" s="621">
        <v>2.8197226502311247E-2</v>
      </c>
      <c r="I6" s="372">
        <v>18</v>
      </c>
      <c r="J6" s="617">
        <v>0.21968901298767834</v>
      </c>
      <c r="K6" s="618">
        <v>0.27209226770630279</v>
      </c>
      <c r="L6" s="619">
        <v>0.27415458937198067</v>
      </c>
      <c r="M6" s="620">
        <v>2.8131008196444835E-2</v>
      </c>
      <c r="N6" s="618">
        <v>2.2219663826847803E-2</v>
      </c>
      <c r="O6" s="621">
        <v>1.8994950709305122E-2</v>
      </c>
      <c r="P6" s="8"/>
      <c r="Q6" s="358">
        <v>21</v>
      </c>
      <c r="R6" s="359">
        <v>7341</v>
      </c>
      <c r="S6" s="603">
        <v>3385</v>
      </c>
      <c r="T6" s="603">
        <v>3163</v>
      </c>
      <c r="U6" s="604">
        <v>1558</v>
      </c>
      <c r="V6" s="604">
        <v>643</v>
      </c>
      <c r="W6" s="604">
        <v>602</v>
      </c>
    </row>
    <row r="7" spans="1:31" x14ac:dyDescent="0.2">
      <c r="A7" s="374">
        <v>19</v>
      </c>
      <c r="B7" s="622">
        <v>0.26563656244132494</v>
      </c>
      <c r="C7" s="623">
        <v>0.27694643641153227</v>
      </c>
      <c r="D7" s="624">
        <v>0.27729831875474859</v>
      </c>
      <c r="E7" s="640">
        <v>5.6149582936796734E-2</v>
      </c>
      <c r="F7" s="623">
        <v>6.794575879976919E-2</v>
      </c>
      <c r="G7" s="626">
        <v>6.2249614791987672E-2</v>
      </c>
      <c r="I7" s="374">
        <v>19</v>
      </c>
      <c r="J7" s="622">
        <v>0.26075261930988547</v>
      </c>
      <c r="K7" s="623">
        <v>0.27718215291314707</v>
      </c>
      <c r="L7" s="624">
        <v>0.27828333895067969</v>
      </c>
      <c r="M7" s="640">
        <v>5.4508044658818769E-2</v>
      </c>
      <c r="N7" s="623">
        <v>4.9965461662445317E-2</v>
      </c>
      <c r="O7" s="626">
        <v>4.460206780476076E-2</v>
      </c>
      <c r="P7" s="8"/>
      <c r="Q7" s="358">
        <v>22</v>
      </c>
      <c r="R7" s="359">
        <v>4644</v>
      </c>
      <c r="S7" s="603">
        <v>2060</v>
      </c>
      <c r="T7" s="603">
        <v>1894</v>
      </c>
      <c r="U7" s="604">
        <v>1591</v>
      </c>
      <c r="V7" s="604">
        <v>622</v>
      </c>
      <c r="W7" s="604">
        <v>2581</v>
      </c>
    </row>
    <row r="8" spans="1:31" x14ac:dyDescent="0.2">
      <c r="A8" s="374">
        <v>20</v>
      </c>
      <c r="B8" s="622">
        <v>0.13721960216918302</v>
      </c>
      <c r="C8" s="623">
        <v>0.12026196399824382</v>
      </c>
      <c r="D8" s="624">
        <v>0.12014182462839219</v>
      </c>
      <c r="E8" s="640">
        <v>7.4511560208251698E-2</v>
      </c>
      <c r="F8" s="623">
        <v>8.2371609924985573E-2</v>
      </c>
      <c r="G8" s="626">
        <v>7.950693374422188E-2</v>
      </c>
      <c r="I8" s="374">
        <v>20</v>
      </c>
      <c r="J8" s="622">
        <v>0.17201629223557138</v>
      </c>
      <c r="K8" s="623">
        <v>0.16171215074723846</v>
      </c>
      <c r="L8" s="624">
        <v>0.16228513650151669</v>
      </c>
      <c r="M8" s="640">
        <v>7.7781900360913411E-2</v>
      </c>
      <c r="N8" s="623">
        <v>7.057333640340778E-2</v>
      </c>
      <c r="O8" s="626">
        <v>6.816542438086079E-2</v>
      </c>
      <c r="P8" s="8"/>
      <c r="Q8" s="358">
        <v>23</v>
      </c>
      <c r="R8" s="359">
        <v>3046</v>
      </c>
      <c r="S8" s="603">
        <v>1368</v>
      </c>
      <c r="T8" s="603">
        <v>1206</v>
      </c>
      <c r="U8" s="604">
        <v>1606</v>
      </c>
      <c r="V8" s="604">
        <v>607</v>
      </c>
      <c r="W8" s="604">
        <v>580</v>
      </c>
    </row>
    <row r="9" spans="1:31" x14ac:dyDescent="0.2">
      <c r="A9" s="374">
        <v>21</v>
      </c>
      <c r="B9" s="622">
        <v>8.1079290045393798E-2</v>
      </c>
      <c r="C9" s="623">
        <v>6.192375237816479E-2</v>
      </c>
      <c r="D9" s="624">
        <v>6.1619684011610915E-2</v>
      </c>
      <c r="E9" s="640">
        <v>8.7219392039411078E-2</v>
      </c>
      <c r="F9" s="623">
        <v>9.275822273514138E-2</v>
      </c>
      <c r="G9" s="626">
        <v>9.2758089368258856E-2</v>
      </c>
      <c r="I9" s="374">
        <v>21</v>
      </c>
      <c r="J9" s="622">
        <v>0.1189896764607936</v>
      </c>
      <c r="K9" s="623">
        <v>0.10921594108728612</v>
      </c>
      <c r="L9" s="624">
        <v>0.10897651949219189</v>
      </c>
      <c r="M9" s="640">
        <v>8.2639052855263601E-2</v>
      </c>
      <c r="N9" s="623">
        <v>7.9668431959475011E-2</v>
      </c>
      <c r="O9" s="626">
        <v>7.8624669391680696E-2</v>
      </c>
      <c r="P9" s="8"/>
      <c r="Q9" s="358">
        <v>24</v>
      </c>
      <c r="R9" s="359">
        <v>1877</v>
      </c>
      <c r="S9" s="603">
        <v>817</v>
      </c>
      <c r="T9" s="603">
        <v>711</v>
      </c>
      <c r="U9" s="604">
        <v>1444</v>
      </c>
      <c r="V9" s="604">
        <v>563</v>
      </c>
      <c r="W9" s="604">
        <v>526</v>
      </c>
    </row>
    <row r="10" spans="1:31" x14ac:dyDescent="0.2">
      <c r="A10" s="374">
        <v>22</v>
      </c>
      <c r="B10" s="622">
        <v>5.1291680012370083E-2</v>
      </c>
      <c r="C10" s="623">
        <v>3.7684765110493193E-2</v>
      </c>
      <c r="D10" s="624">
        <v>3.689778106797062E-2</v>
      </c>
      <c r="E10" s="640">
        <v>8.9066786094161118E-2</v>
      </c>
      <c r="F10" s="623">
        <v>8.9728793998845938E-2</v>
      </c>
      <c r="G10" s="626">
        <v>8.9522340000000006E-2</v>
      </c>
      <c r="I10" s="374">
        <v>22</v>
      </c>
      <c r="J10" s="622">
        <v>7.4275687168583654E-2</v>
      </c>
      <c r="K10" s="623">
        <v>6.4435780810049817E-2</v>
      </c>
      <c r="L10" s="624">
        <v>6.4093922031232445E-2</v>
      </c>
      <c r="M10" s="640">
        <v>8.9148986406719061E-2</v>
      </c>
      <c r="N10" s="623">
        <v>8.4273543633433104E-2</v>
      </c>
      <c r="O10" s="626">
        <v>8.4275066121663855E-2</v>
      </c>
      <c r="P10" s="8"/>
      <c r="Q10" s="358">
        <v>25</v>
      </c>
      <c r="R10" s="359">
        <v>1248</v>
      </c>
      <c r="S10" s="603">
        <v>510</v>
      </c>
      <c r="T10" s="603">
        <v>440</v>
      </c>
      <c r="U10" s="604">
        <v>1278</v>
      </c>
      <c r="V10" s="604">
        <v>524</v>
      </c>
      <c r="W10" s="604">
        <v>499</v>
      </c>
    </row>
    <row r="11" spans="1:31" x14ac:dyDescent="0.2">
      <c r="A11" s="374">
        <v>23</v>
      </c>
      <c r="B11" s="622">
        <v>3.3642217338001566E-2</v>
      </c>
      <c r="C11" s="623">
        <v>2.5025611005414897E-2</v>
      </c>
      <c r="D11" s="624">
        <v>2.3494574428707799E-2</v>
      </c>
      <c r="E11" s="640">
        <v>8.9906510664502046E-2</v>
      </c>
      <c r="F11" s="623">
        <v>8.7564916330063469E-2</v>
      </c>
      <c r="G11" s="626">
        <v>8.9368258859784278E-2</v>
      </c>
      <c r="I11" s="374">
        <v>23</v>
      </c>
      <c r="J11" s="622">
        <v>4.8838281630248226E-2</v>
      </c>
      <c r="K11" s="623">
        <v>4.2614251678579164E-2</v>
      </c>
      <c r="L11" s="624">
        <v>4.18773171553758E-2</v>
      </c>
      <c r="M11" s="640">
        <v>8.5708503389887683E-2</v>
      </c>
      <c r="N11" s="623">
        <v>8.8878655307391211E-2</v>
      </c>
      <c r="O11" s="626">
        <v>9.0286126472709782E-2</v>
      </c>
      <c r="P11" s="8"/>
      <c r="Q11" s="358">
        <v>26</v>
      </c>
      <c r="R11" s="359">
        <v>735</v>
      </c>
      <c r="S11" s="603">
        <v>275</v>
      </c>
      <c r="T11" s="603">
        <v>254</v>
      </c>
      <c r="U11" s="604">
        <v>1059</v>
      </c>
      <c r="V11" s="604">
        <v>383</v>
      </c>
      <c r="W11" s="604">
        <v>365</v>
      </c>
    </row>
    <row r="12" spans="1:31" x14ac:dyDescent="0.2">
      <c r="A12" s="374">
        <v>24</v>
      </c>
      <c r="B12" s="622">
        <v>2.0730939574336488E-2</v>
      </c>
      <c r="C12" s="623">
        <v>1.4945851017122787E-2</v>
      </c>
      <c r="D12" s="624">
        <v>1.385127895423818E-2</v>
      </c>
      <c r="E12" s="640">
        <v>8.0837485304820017E-2</v>
      </c>
      <c r="F12" s="623">
        <v>8.1217541834968265E-2</v>
      </c>
      <c r="G12" s="626">
        <v>8.1047765793528501E-2</v>
      </c>
      <c r="I12" s="374">
        <v>24</v>
      </c>
      <c r="J12" s="622">
        <v>3.1764736019673646E-2</v>
      </c>
      <c r="K12" s="623">
        <v>2.7696556205328134E-2</v>
      </c>
      <c r="L12" s="624">
        <v>2.6485788113695091E-2</v>
      </c>
      <c r="M12" s="640">
        <v>7.751205855567174E-2</v>
      </c>
      <c r="N12" s="623">
        <v>8.0359198710568736E-2</v>
      </c>
      <c r="O12" s="626">
        <v>8.1269535946140906E-2</v>
      </c>
      <c r="P12" s="8"/>
      <c r="Q12" s="358">
        <v>27</v>
      </c>
      <c r="R12" s="359">
        <v>534</v>
      </c>
      <c r="S12" s="603">
        <v>209</v>
      </c>
      <c r="T12" s="603">
        <v>192</v>
      </c>
      <c r="U12" s="604">
        <v>752</v>
      </c>
      <c r="V12" s="604">
        <v>274</v>
      </c>
      <c r="W12" s="604">
        <v>261</v>
      </c>
    </row>
    <row r="13" spans="1:31" x14ac:dyDescent="0.2">
      <c r="A13" s="374">
        <v>25</v>
      </c>
      <c r="B13" s="622">
        <v>1.3783810649319094E-2</v>
      </c>
      <c r="C13" s="623">
        <v>9.3297234011415191E-3</v>
      </c>
      <c r="D13" s="624">
        <v>8.5718181995285501E-3</v>
      </c>
      <c r="E13" s="640">
        <v>7.1544533393047074E-2</v>
      </c>
      <c r="F13" s="623">
        <v>7.5591459896133875E-2</v>
      </c>
      <c r="G13" s="626">
        <v>7.6887519260400619E-2</v>
      </c>
      <c r="I13" s="374">
        <v>25</v>
      </c>
      <c r="J13" s="622">
        <v>1.9648026231523938E-2</v>
      </c>
      <c r="K13" s="623">
        <v>1.5756985055230668E-2</v>
      </c>
      <c r="L13" s="624">
        <v>1.5363442309852825E-2</v>
      </c>
      <c r="M13" s="640">
        <v>6.9990218234559989E-2</v>
      </c>
      <c r="N13" s="623">
        <v>7.9323048583928163E-2</v>
      </c>
      <c r="O13" s="626">
        <v>8.0307766289973548E-2</v>
      </c>
      <c r="P13" s="8"/>
      <c r="Q13" s="358">
        <v>28</v>
      </c>
      <c r="R13" s="359">
        <v>374</v>
      </c>
      <c r="S13" s="603">
        <v>138</v>
      </c>
      <c r="T13" s="603">
        <v>119</v>
      </c>
      <c r="U13" s="604">
        <v>678</v>
      </c>
      <c r="V13" s="604">
        <v>241</v>
      </c>
      <c r="W13" s="604">
        <v>236</v>
      </c>
    </row>
    <row r="14" spans="1:31" x14ac:dyDescent="0.2">
      <c r="A14" s="374">
        <v>26</v>
      </c>
      <c r="B14" s="622">
        <v>8.1178692526037936E-3</v>
      </c>
      <c r="C14" s="623">
        <v>5.0307332064978777E-3</v>
      </c>
      <c r="D14" s="624">
        <v>4.948276869727845E-3</v>
      </c>
      <c r="E14" s="640">
        <v>5.9284554666069529E-2</v>
      </c>
      <c r="F14" s="623">
        <v>5.5251009809578762E-2</v>
      </c>
      <c r="G14" s="626">
        <v>5.6240369799691832E-2</v>
      </c>
      <c r="I14" s="374">
        <v>26</v>
      </c>
      <c r="J14" s="622">
        <v>1.2910828188641546E-2</v>
      </c>
      <c r="K14" s="623">
        <v>8.6094866796621178E-3</v>
      </c>
      <c r="L14" s="624">
        <v>8.3136726210538137E-3</v>
      </c>
      <c r="M14" s="640">
        <v>5.9365197153168951E-2</v>
      </c>
      <c r="N14" s="623">
        <v>6.5162330186507023E-2</v>
      </c>
      <c r="O14" s="626">
        <v>6.6602548689588842E-2</v>
      </c>
      <c r="P14" s="8"/>
      <c r="Q14" s="358">
        <v>29</v>
      </c>
      <c r="R14" s="359">
        <v>256</v>
      </c>
      <c r="S14" s="603">
        <v>85</v>
      </c>
      <c r="T14" s="603">
        <v>81</v>
      </c>
      <c r="U14" s="604">
        <v>555</v>
      </c>
      <c r="V14" s="604">
        <v>187</v>
      </c>
      <c r="W14" s="604">
        <v>179</v>
      </c>
    </row>
    <row r="15" spans="1:31" x14ac:dyDescent="0.2">
      <c r="A15" s="374">
        <v>27</v>
      </c>
      <c r="B15" s="622">
        <v>5.8978805182182655E-3</v>
      </c>
      <c r="C15" s="623">
        <v>3.8233572369383872E-3</v>
      </c>
      <c r="D15" s="624">
        <v>3.7404297597942765E-3</v>
      </c>
      <c r="E15" s="640">
        <v>4.2098191793091863E-2</v>
      </c>
      <c r="F15" s="623">
        <v>3.9526832083092905E-2</v>
      </c>
      <c r="G15" s="626">
        <v>4.0215716486902926E-2</v>
      </c>
      <c r="I15" s="374">
        <v>27</v>
      </c>
      <c r="J15" s="622">
        <v>8.9914696313753619E-3</v>
      </c>
      <c r="K15" s="623">
        <v>5.6584362139917698E-3</v>
      </c>
      <c r="L15" s="624">
        <v>5.561172901921132E-3</v>
      </c>
      <c r="M15" s="640">
        <v>5.1404863898539481E-2</v>
      </c>
      <c r="N15" s="623">
        <v>5.41100621690076E-2</v>
      </c>
      <c r="O15" s="626">
        <v>5.4460206780476077E-2</v>
      </c>
      <c r="P15" s="8"/>
      <c r="Q15" s="358" t="s">
        <v>100</v>
      </c>
      <c r="R15" s="376">
        <f>184+180+1197</f>
        <v>1561</v>
      </c>
      <c r="S15" s="604">
        <f>60+59+423</f>
        <v>542</v>
      </c>
      <c r="T15" s="604">
        <f>59+55+398</f>
        <v>512</v>
      </c>
      <c r="U15" s="604">
        <f>469+446+3597</f>
        <v>4512</v>
      </c>
      <c r="V15" s="604">
        <f>173+150+1296</f>
        <v>1619</v>
      </c>
      <c r="W15" s="604">
        <f>164+142+1252</f>
        <v>1558</v>
      </c>
    </row>
    <row r="16" spans="1:31" x14ac:dyDescent="0.2">
      <c r="A16" s="374">
        <v>28</v>
      </c>
      <c r="B16" s="622">
        <v>4.1307253067670996E-3</v>
      </c>
      <c r="C16" s="623">
        <v>2.5245133908971171E-3</v>
      </c>
      <c r="D16" s="624">
        <v>2.318287194872494E-3</v>
      </c>
      <c r="E16" s="640">
        <v>3.7955550579409955E-2</v>
      </c>
      <c r="F16" s="623">
        <v>3.4766301211771496E-2</v>
      </c>
      <c r="G16" s="626">
        <v>3.6363636363636362E-2</v>
      </c>
      <c r="I16" s="374">
        <v>28</v>
      </c>
      <c r="J16" s="622">
        <v>5.930271281092297E-3</v>
      </c>
      <c r="K16" s="623">
        <v>3.1676413255360622E-3</v>
      </c>
      <c r="L16" s="624">
        <v>3.0052803055836421E-3</v>
      </c>
      <c r="M16" s="640">
        <v>3.8553647923904609E-2</v>
      </c>
      <c r="N16" s="623">
        <v>4.0524982730831223E-2</v>
      </c>
      <c r="O16" s="626">
        <v>4.1476316422216879E-2</v>
      </c>
      <c r="P16" s="8"/>
      <c r="Q16" s="358" t="s">
        <v>34</v>
      </c>
      <c r="R16" s="376">
        <v>19.8</v>
      </c>
      <c r="S16" s="604">
        <v>19.38</v>
      </c>
      <c r="T16" s="604">
        <v>19.36</v>
      </c>
      <c r="U16" s="604">
        <v>25.29</v>
      </c>
      <c r="V16" s="604">
        <v>24.96</v>
      </c>
      <c r="W16" s="604">
        <v>25.1</v>
      </c>
    </row>
    <row r="17" spans="1:24" x14ac:dyDescent="0.2">
      <c r="A17" s="374">
        <v>29</v>
      </c>
      <c r="B17" s="622">
        <v>2.8274483383218651E-3</v>
      </c>
      <c r="C17" s="623">
        <v>1.5549539001902533E-3</v>
      </c>
      <c r="D17" s="624">
        <v>1.5779938049132103E-3</v>
      </c>
      <c r="E17" s="640">
        <v>3.1069809102614341E-2</v>
      </c>
      <c r="F17" s="623">
        <v>2.6976341604154644E-2</v>
      </c>
      <c r="G17" s="626">
        <v>2.7580893682588599E-2</v>
      </c>
      <c r="I17" s="374">
        <v>29</v>
      </c>
      <c r="J17" s="622">
        <v>4.3036093962138481E-3</v>
      </c>
      <c r="K17" s="623">
        <v>2.2742040285899934E-3</v>
      </c>
      <c r="L17" s="624">
        <v>2.3031120098865295E-3</v>
      </c>
      <c r="M17" s="640">
        <v>3.3291732721691905E-2</v>
      </c>
      <c r="N17" s="623">
        <v>3.3962698595440939E-2</v>
      </c>
      <c r="O17" s="626">
        <v>3.5104592450108198E-2</v>
      </c>
      <c r="P17" s="8"/>
      <c r="R17" s="8">
        <v>90541</v>
      </c>
      <c r="S17" s="392">
        <v>54664</v>
      </c>
      <c r="T17" s="392">
        <v>51331</v>
      </c>
      <c r="U17" s="392">
        <v>17863</v>
      </c>
      <c r="V17" s="392">
        <v>6932</v>
      </c>
      <c r="W17" s="392">
        <v>6490</v>
      </c>
    </row>
    <row r="18" spans="1:24" x14ac:dyDescent="0.2">
      <c r="A18" s="377" t="s">
        <v>100</v>
      </c>
      <c r="B18" s="627">
        <v>1.7240808031720435E-2</v>
      </c>
      <c r="C18" s="628">
        <v>9.9151178106249085E-3</v>
      </c>
      <c r="D18" s="629">
        <v>9.974479359451404E-3</v>
      </c>
      <c r="E18" s="641">
        <v>0.25258915075855121</v>
      </c>
      <c r="F18" s="628">
        <v>0.23355452971725332</v>
      </c>
      <c r="G18" s="631">
        <v>0.24006163328197228</v>
      </c>
      <c r="I18" s="377" t="s">
        <v>100</v>
      </c>
      <c r="J18" s="627">
        <v>2.1415580090683197E-2</v>
      </c>
      <c r="K18" s="628">
        <v>9.3675546891921167E-3</v>
      </c>
      <c r="L18" s="629">
        <v>9.1281878440624652E-3</v>
      </c>
      <c r="M18" s="641">
        <v>0.25189732519310554</v>
      </c>
      <c r="N18" s="628">
        <v>0.25086345843886715</v>
      </c>
      <c r="O18" s="631">
        <v>0.25571050733349365</v>
      </c>
      <c r="P18" s="8"/>
    </row>
    <row r="19" spans="1:24" ht="13.5" thickBot="1" x14ac:dyDescent="0.25">
      <c r="A19" s="378" t="s">
        <v>34</v>
      </c>
      <c r="B19" s="642">
        <f t="shared" ref="B19:G19" si="0">+R16</f>
        <v>19.8</v>
      </c>
      <c r="C19" s="633">
        <f t="shared" si="0"/>
        <v>19.38</v>
      </c>
      <c r="D19" s="634">
        <f t="shared" si="0"/>
        <v>19.36</v>
      </c>
      <c r="E19" s="635">
        <f t="shared" si="0"/>
        <v>25.29</v>
      </c>
      <c r="F19" s="633">
        <f t="shared" si="0"/>
        <v>24.96</v>
      </c>
      <c r="G19" s="636">
        <f t="shared" si="0"/>
        <v>25.1</v>
      </c>
      <c r="I19" s="378" t="s">
        <v>34</v>
      </c>
      <c r="J19" s="642">
        <v>20.47</v>
      </c>
      <c r="K19" s="633">
        <v>20</v>
      </c>
      <c r="L19" s="634">
        <v>19.986000000000001</v>
      </c>
      <c r="M19" s="635">
        <v>26.167999999999999</v>
      </c>
      <c r="N19" s="633">
        <v>26.297999999999998</v>
      </c>
      <c r="O19" s="636">
        <v>26.42</v>
      </c>
      <c r="P19" s="8"/>
    </row>
    <row r="20" spans="1:24" ht="16.5" customHeight="1" thickTop="1" x14ac:dyDescent="0.2">
      <c r="A20" s="381"/>
      <c r="B20" s="381"/>
      <c r="C20" s="381"/>
      <c r="D20" s="381"/>
      <c r="E20" s="381"/>
      <c r="F20" s="381"/>
      <c r="G20" s="607"/>
      <c r="I20" s="381"/>
      <c r="J20" s="381"/>
      <c r="K20" s="381"/>
      <c r="L20" s="381"/>
      <c r="M20" s="381"/>
      <c r="N20" s="381"/>
      <c r="O20" s="606"/>
      <c r="P20" s="382"/>
    </row>
    <row r="21" spans="1:24" ht="13.5" thickBot="1" x14ac:dyDescent="0.25">
      <c r="A21" s="718" t="s">
        <v>6</v>
      </c>
      <c r="B21" s="718"/>
      <c r="C21" s="718"/>
      <c r="D21" s="718"/>
      <c r="E21" s="718"/>
      <c r="F21" s="718"/>
      <c r="G21" s="718"/>
      <c r="I21" s="718" t="s">
        <v>7</v>
      </c>
      <c r="J21" s="718"/>
      <c r="K21" s="718"/>
      <c r="L21" s="718"/>
      <c r="M21" s="718"/>
      <c r="N21" s="718"/>
      <c r="O21" s="718"/>
    </row>
    <row r="22" spans="1:24" ht="39" thickTop="1" x14ac:dyDescent="0.2">
      <c r="A22" s="360" t="s">
        <v>101</v>
      </c>
      <c r="B22" s="361" t="s">
        <v>94</v>
      </c>
      <c r="C22" s="362" t="s">
        <v>95</v>
      </c>
      <c r="D22" s="363" t="s">
        <v>96</v>
      </c>
      <c r="E22" s="364" t="s">
        <v>94</v>
      </c>
      <c r="F22" s="362" t="s">
        <v>95</v>
      </c>
      <c r="G22" s="365" t="s">
        <v>96</v>
      </c>
      <c r="I22" s="360" t="s">
        <v>102</v>
      </c>
      <c r="J22" s="361" t="s">
        <v>94</v>
      </c>
      <c r="K22" s="362" t="s">
        <v>95</v>
      </c>
      <c r="L22" s="363" t="s">
        <v>96</v>
      </c>
      <c r="M22" s="364" t="s">
        <v>94</v>
      </c>
      <c r="N22" s="362" t="s">
        <v>95</v>
      </c>
      <c r="O22" s="365" t="s">
        <v>96</v>
      </c>
      <c r="R22" s="357" t="s">
        <v>89</v>
      </c>
      <c r="S22" s="602" t="s">
        <v>90</v>
      </c>
      <c r="T22" s="602" t="s">
        <v>91</v>
      </c>
      <c r="U22" s="602" t="s">
        <v>92</v>
      </c>
      <c r="V22" s="602" t="s">
        <v>90</v>
      </c>
      <c r="W22" s="602" t="s">
        <v>91</v>
      </c>
      <c r="X22" s="602" t="s">
        <v>92</v>
      </c>
    </row>
    <row r="23" spans="1:24" ht="13.5" thickBot="1" x14ac:dyDescent="0.25">
      <c r="A23" s="366"/>
      <c r="B23" s="367" t="s">
        <v>98</v>
      </c>
      <c r="C23" s="368"/>
      <c r="D23" s="369"/>
      <c r="E23" s="370" t="s">
        <v>99</v>
      </c>
      <c r="F23" s="368"/>
      <c r="G23" s="371"/>
      <c r="I23" s="366"/>
      <c r="J23" s="367" t="s">
        <v>98</v>
      </c>
      <c r="K23" s="368"/>
      <c r="L23" s="369"/>
      <c r="M23" s="370" t="s">
        <v>99</v>
      </c>
      <c r="N23" s="368"/>
      <c r="O23" s="371"/>
      <c r="R23" s="383"/>
      <c r="S23" s="719" t="s">
        <v>98</v>
      </c>
      <c r="T23" s="719"/>
      <c r="U23" s="719"/>
      <c r="V23" s="719" t="s">
        <v>99</v>
      </c>
      <c r="W23" s="719"/>
      <c r="X23" s="719"/>
    </row>
    <row r="24" spans="1:24" ht="13.5" thickTop="1" x14ac:dyDescent="0.2">
      <c r="A24" s="372">
        <v>18</v>
      </c>
      <c r="B24" s="617">
        <v>9.278977051730844E-2</v>
      </c>
      <c r="C24" s="618">
        <v>0.12471605319453941</v>
      </c>
      <c r="D24" s="619">
        <v>0.12705925602554971</v>
      </c>
      <c r="E24" s="620">
        <v>7.1707463583120593E-3</v>
      </c>
      <c r="F24" s="618">
        <v>7.4104151862755046E-3</v>
      </c>
      <c r="G24" s="621">
        <v>4.6718817905258584E-3</v>
      </c>
      <c r="I24" s="372">
        <v>18</v>
      </c>
      <c r="J24" s="617">
        <v>1.8518518518518519E-3</v>
      </c>
      <c r="K24" s="618">
        <v>2.318694474198223E-2</v>
      </c>
      <c r="L24" s="619">
        <v>2.3647981028917728E-2</v>
      </c>
      <c r="M24" s="620">
        <v>1.9059948933721725E-3</v>
      </c>
      <c r="N24" s="618">
        <v>1.8518518518518519E-3</v>
      </c>
      <c r="O24" s="621">
        <v>1.4805414551607445E-3</v>
      </c>
      <c r="R24" s="358">
        <v>18</v>
      </c>
      <c r="S24" s="605">
        <v>17152</v>
      </c>
      <c r="T24" s="603">
        <v>10050</v>
      </c>
      <c r="U24" s="603">
        <v>9761</v>
      </c>
      <c r="V24" s="604">
        <v>834</v>
      </c>
      <c r="W24" s="604">
        <v>193</v>
      </c>
      <c r="X24" s="604">
        <v>158</v>
      </c>
    </row>
    <row r="25" spans="1:24" x14ac:dyDescent="0.2">
      <c r="A25" s="374">
        <v>19</v>
      </c>
      <c r="B25" s="622">
        <v>0.45367804356281605</v>
      </c>
      <c r="C25" s="623">
        <v>0.48752839468054604</v>
      </c>
      <c r="D25" s="624">
        <v>0.49389977712933392</v>
      </c>
      <c r="E25" s="640">
        <v>5.4212344195825199E-2</v>
      </c>
      <c r="F25" s="623">
        <v>5.014719317835753E-2</v>
      </c>
      <c r="G25" s="626">
        <v>3.9330725771403736E-2</v>
      </c>
      <c r="I25" s="374">
        <v>19</v>
      </c>
      <c r="J25" s="622">
        <v>0.44995863344364417</v>
      </c>
      <c r="K25" s="623">
        <v>0.50839056560183138</v>
      </c>
      <c r="L25" s="624">
        <v>0.51421733306984607</v>
      </c>
      <c r="M25" s="640">
        <v>5.3547667853418204E-2</v>
      </c>
      <c r="N25" s="623">
        <v>5.1267056530214426E-2</v>
      </c>
      <c r="O25" s="626">
        <v>4.1032148900169207E-2</v>
      </c>
      <c r="R25" s="358">
        <v>19</v>
      </c>
      <c r="S25" s="605">
        <v>20358</v>
      </c>
      <c r="T25" s="603">
        <v>10238</v>
      </c>
      <c r="U25" s="603">
        <v>9908</v>
      </c>
      <c r="V25" s="604">
        <v>1616</v>
      </c>
      <c r="W25" s="604">
        <v>434</v>
      </c>
      <c r="X25" s="604">
        <v>371</v>
      </c>
    </row>
    <row r="26" spans="1:24" x14ac:dyDescent="0.2">
      <c r="A26" s="374">
        <v>20</v>
      </c>
      <c r="B26" s="622">
        <v>0.15871742512640996</v>
      </c>
      <c r="C26" s="623">
        <v>0.14332973116026729</v>
      </c>
      <c r="D26" s="624">
        <v>0.14266020265147164</v>
      </c>
      <c r="E26" s="640">
        <v>5.6990539119987985E-2</v>
      </c>
      <c r="F26" s="623">
        <v>5.1162318546340471E-2</v>
      </c>
      <c r="G26" s="626">
        <v>4.5415036940460667E-2</v>
      </c>
      <c r="I26" s="374">
        <v>20</v>
      </c>
      <c r="J26" s="622">
        <v>0.23582587113101031</v>
      </c>
      <c r="K26" s="623">
        <v>0.23604897822023396</v>
      </c>
      <c r="L26" s="624">
        <v>0.23549173308741189</v>
      </c>
      <c r="M26" s="640">
        <v>6.2574171971086417E-2</v>
      </c>
      <c r="N26" s="623">
        <v>6.6471734892787529E-2</v>
      </c>
      <c r="O26" s="626">
        <v>6.006768189509306E-2</v>
      </c>
      <c r="R26" s="358">
        <v>20</v>
      </c>
      <c r="S26" s="605">
        <v>13430</v>
      </c>
      <c r="T26" s="603">
        <v>5973</v>
      </c>
      <c r="U26" s="603">
        <v>5778</v>
      </c>
      <c r="V26" s="604">
        <v>2306</v>
      </c>
      <c r="W26" s="604">
        <v>613</v>
      </c>
      <c r="X26" s="604">
        <v>567</v>
      </c>
    </row>
    <row r="27" spans="1:24" x14ac:dyDescent="0.2">
      <c r="A27" s="374">
        <v>21</v>
      </c>
      <c r="B27" s="622">
        <v>9.1258265266433297E-2</v>
      </c>
      <c r="C27" s="623">
        <v>7.8799373662968922E-2</v>
      </c>
      <c r="D27" s="624">
        <v>7.6970797049835712E-2</v>
      </c>
      <c r="E27" s="640">
        <v>7.2120438504279918E-2</v>
      </c>
      <c r="F27" s="623">
        <v>7.0246675464419858E-2</v>
      </c>
      <c r="G27" s="626">
        <v>6.8991742720556276E-2</v>
      </c>
      <c r="I27" s="374">
        <v>21</v>
      </c>
      <c r="J27" s="622">
        <v>9.8853903056258519E-2</v>
      </c>
      <c r="K27" s="623">
        <v>9.3314850986075226E-2</v>
      </c>
      <c r="L27" s="624">
        <v>9.2527940627538816E-2</v>
      </c>
      <c r="M27" s="640">
        <v>7.2283957276944658E-2</v>
      </c>
      <c r="N27" s="623">
        <v>7.9142300194931778E-2</v>
      </c>
      <c r="O27" s="626">
        <v>7.6565143824027071E-2</v>
      </c>
      <c r="R27" s="358">
        <v>21</v>
      </c>
      <c r="S27" s="605">
        <v>9290</v>
      </c>
      <c r="T27" s="603">
        <v>4034</v>
      </c>
      <c r="U27" s="603">
        <v>3880</v>
      </c>
      <c r="V27" s="604">
        <v>2450</v>
      </c>
      <c r="W27" s="604">
        <v>692</v>
      </c>
      <c r="X27" s="604">
        <v>654</v>
      </c>
    </row>
    <row r="28" spans="1:24" x14ac:dyDescent="0.2">
      <c r="A28" s="374">
        <v>22</v>
      </c>
      <c r="B28" s="622">
        <v>6.545361726954492E-2</v>
      </c>
      <c r="C28" s="623">
        <v>5.7252497629182011E-2</v>
      </c>
      <c r="D28" s="624">
        <v>5.5625761091836499E-2</v>
      </c>
      <c r="E28" s="640">
        <v>8.597386995044301E-2</v>
      </c>
      <c r="F28" s="623">
        <v>8.537204344736575E-2</v>
      </c>
      <c r="G28" s="626">
        <v>8.6158192090395477E-2</v>
      </c>
      <c r="I28" s="374">
        <v>22</v>
      </c>
      <c r="J28" s="622">
        <v>6.481166050223866E-2</v>
      </c>
      <c r="K28" s="623">
        <v>5.8072375191649338E-2</v>
      </c>
      <c r="L28" s="624">
        <v>5.7176734075489101E-2</v>
      </c>
      <c r="M28" s="640">
        <v>8.134642356241234E-2</v>
      </c>
      <c r="N28" s="623">
        <v>9.269005847953217E-2</v>
      </c>
      <c r="O28" s="626">
        <v>9.1793570219966161E-2</v>
      </c>
      <c r="R28" s="358">
        <v>22</v>
      </c>
      <c r="S28" s="605">
        <v>5799</v>
      </c>
      <c r="T28" s="603">
        <v>2380</v>
      </c>
      <c r="U28" s="603">
        <v>2282</v>
      </c>
      <c r="V28" s="604">
        <v>2643</v>
      </c>
      <c r="W28" s="604">
        <v>732</v>
      </c>
      <c r="X28" s="604">
        <v>701</v>
      </c>
    </row>
    <row r="29" spans="1:24" x14ac:dyDescent="0.2">
      <c r="A29" s="374">
        <v>23</v>
      </c>
      <c r="B29" s="622">
        <v>4.4134091793076625E-2</v>
      </c>
      <c r="C29" s="623">
        <v>3.881525262995391E-2</v>
      </c>
      <c r="D29" s="624">
        <v>3.7451462445143947E-2</v>
      </c>
      <c r="E29" s="640">
        <v>8.597386995044301E-2</v>
      </c>
      <c r="F29" s="623">
        <v>8.6996244036138468E-2</v>
      </c>
      <c r="G29" s="626">
        <v>8.8005215123859198E-2</v>
      </c>
      <c r="I29" s="374">
        <v>23</v>
      </c>
      <c r="J29" s="622">
        <v>4.8800369865680357E-2</v>
      </c>
      <c r="K29" s="623">
        <v>4.5575788125091887E-2</v>
      </c>
      <c r="L29" s="624">
        <v>4.4068243198735264E-2</v>
      </c>
      <c r="M29" s="640">
        <v>9.0229079008882662E-2</v>
      </c>
      <c r="N29" s="623">
        <v>0.10243664717348928</v>
      </c>
      <c r="O29" s="626">
        <v>0.10384940778341793</v>
      </c>
      <c r="R29" s="358">
        <v>23</v>
      </c>
      <c r="S29" s="605">
        <v>3813</v>
      </c>
      <c r="T29" s="603">
        <v>1574</v>
      </c>
      <c r="U29" s="603">
        <v>1491</v>
      </c>
      <c r="V29" s="604">
        <v>2541</v>
      </c>
      <c r="W29" s="604">
        <v>772</v>
      </c>
      <c r="X29" s="604">
        <v>751</v>
      </c>
    </row>
    <row r="30" spans="1:24" x14ac:dyDescent="0.2">
      <c r="A30" s="374">
        <v>24</v>
      </c>
      <c r="B30" s="622">
        <v>2.8977051730844028E-2</v>
      </c>
      <c r="C30" s="623">
        <v>2.4810885914033038E-2</v>
      </c>
      <c r="D30" s="624">
        <v>2.3412908117547045E-2</v>
      </c>
      <c r="E30" s="640">
        <v>8.161886169094458E-2</v>
      </c>
      <c r="F30" s="623">
        <v>7.5626839914729474E-2</v>
      </c>
      <c r="G30" s="626">
        <v>9.1373315949587142E-2</v>
      </c>
      <c r="I30" s="374">
        <v>24</v>
      </c>
      <c r="J30" s="622">
        <v>3.2241580689118164E-2</v>
      </c>
      <c r="K30" s="623">
        <v>3.0243840967802912E-2</v>
      </c>
      <c r="L30" s="624">
        <v>2.8939683376150011E-2</v>
      </c>
      <c r="M30" s="640">
        <v>8.5374186355953535E-2</v>
      </c>
      <c r="N30" s="623">
        <v>9.2592592592592587E-2</v>
      </c>
      <c r="O30" s="626">
        <v>9.4120135363790186E-2</v>
      </c>
      <c r="R30" s="358">
        <v>24</v>
      </c>
      <c r="S30" s="605">
        <v>2480</v>
      </c>
      <c r="T30" s="603">
        <v>1023</v>
      </c>
      <c r="U30" s="603">
        <v>943</v>
      </c>
      <c r="V30" s="604">
        <v>2298</v>
      </c>
      <c r="W30" s="604">
        <v>698</v>
      </c>
      <c r="X30" s="604">
        <v>676</v>
      </c>
    </row>
    <row r="31" spans="1:24" x14ac:dyDescent="0.2">
      <c r="A31" s="374">
        <v>25</v>
      </c>
      <c r="B31" s="622">
        <v>1.7138273045507586E-2</v>
      </c>
      <c r="C31" s="623">
        <v>1.4048474957545817E-2</v>
      </c>
      <c r="D31" s="624">
        <v>1.3349263607747628E-2</v>
      </c>
      <c r="E31" s="640">
        <v>7.2608499774740959E-2</v>
      </c>
      <c r="F31" s="623">
        <v>7.5626839914729474E-2</v>
      </c>
      <c r="G31" s="626">
        <v>7.5945241199478486E-2</v>
      </c>
      <c r="I31" s="374">
        <v>25</v>
      </c>
      <c r="J31" s="622">
        <v>1.9685614171695544E-2</v>
      </c>
      <c r="K31" s="623">
        <v>1.6697120534307858E-2</v>
      </c>
      <c r="L31" s="624">
        <v>1.6226423380102321E-2</v>
      </c>
      <c r="M31" s="640">
        <v>7.6167871399287948E-2</v>
      </c>
      <c r="N31" s="623">
        <v>8.3820662768031184E-2</v>
      </c>
      <c r="O31" s="626">
        <v>8.5765651438240276E-2</v>
      </c>
      <c r="R31" s="358">
        <v>25</v>
      </c>
      <c r="S31" s="605">
        <v>1534</v>
      </c>
      <c r="T31" s="603">
        <v>582</v>
      </c>
      <c r="U31" s="603">
        <v>547</v>
      </c>
      <c r="V31" s="604">
        <v>2075</v>
      </c>
      <c r="W31" s="604">
        <v>689</v>
      </c>
      <c r="X31" s="604">
        <v>668</v>
      </c>
    </row>
    <row r="32" spans="1:24" x14ac:dyDescent="0.2">
      <c r="A32" s="374">
        <v>26</v>
      </c>
      <c r="B32" s="622">
        <v>1.1923862310385063E-2</v>
      </c>
      <c r="C32" s="623">
        <v>8.4026200295525214E-3</v>
      </c>
      <c r="D32" s="624">
        <v>7.9038669209383541E-3</v>
      </c>
      <c r="E32" s="640">
        <v>6.3297792461330535E-2</v>
      </c>
      <c r="F32" s="623">
        <v>6.3343822962135823E-2</v>
      </c>
      <c r="G32" s="626">
        <v>6.4211212516297259E-2</v>
      </c>
      <c r="I32" s="374">
        <v>26</v>
      </c>
      <c r="J32" s="622">
        <v>1.208146778275258E-2</v>
      </c>
      <c r="K32" s="623">
        <v>9.6402243084871778E-3</v>
      </c>
      <c r="L32" s="624">
        <v>8.9146520870386232E-3</v>
      </c>
      <c r="M32" s="640">
        <v>6.7932534973208183E-2</v>
      </c>
      <c r="N32" s="623">
        <v>7.3976608187134502E-2</v>
      </c>
      <c r="O32" s="626">
        <v>7.5296108291032143E-2</v>
      </c>
      <c r="R32" s="358">
        <v>26</v>
      </c>
      <c r="S32" s="605">
        <v>1008</v>
      </c>
      <c r="T32" s="603">
        <v>318</v>
      </c>
      <c r="U32" s="603">
        <v>296</v>
      </c>
      <c r="V32" s="604">
        <v>1760</v>
      </c>
      <c r="W32" s="604">
        <v>566</v>
      </c>
      <c r="X32" s="604">
        <v>554</v>
      </c>
    </row>
    <row r="33" spans="1:24" x14ac:dyDescent="0.2">
      <c r="A33" s="374">
        <v>27</v>
      </c>
      <c r="B33" s="622">
        <v>7.6453714507973549E-3</v>
      </c>
      <c r="C33" s="623">
        <v>4.9621771828066074E-3</v>
      </c>
      <c r="D33" s="624">
        <v>4.6412241803184522E-3</v>
      </c>
      <c r="E33" s="640">
        <v>5.5563898483255741E-2</v>
      </c>
      <c r="F33" s="623">
        <v>5.9892396710993806E-2</v>
      </c>
      <c r="G33" s="626">
        <v>6.0843111690569315E-2</v>
      </c>
      <c r="I33" s="374">
        <v>27</v>
      </c>
      <c r="J33" s="622">
        <v>8.5409772240607352E-3</v>
      </c>
      <c r="K33" s="623">
        <v>6.531829542351879E-3</v>
      </c>
      <c r="L33" s="624">
        <v>6.2578222778473091E-3</v>
      </c>
      <c r="M33" s="640">
        <v>5.8654295680943644E-2</v>
      </c>
      <c r="N33" s="623">
        <v>6.5399610136452235E-2</v>
      </c>
      <c r="O33" s="626">
        <v>6.6730118443316416E-2</v>
      </c>
      <c r="R33" s="358">
        <v>27</v>
      </c>
      <c r="S33" s="605">
        <v>702</v>
      </c>
      <c r="T33" s="603">
        <v>209</v>
      </c>
      <c r="U33" s="603">
        <v>198</v>
      </c>
      <c r="V33" s="604">
        <v>1524</v>
      </c>
      <c r="W33" s="604">
        <v>470</v>
      </c>
      <c r="X33" s="604">
        <v>453</v>
      </c>
    </row>
    <row r="34" spans="1:24" x14ac:dyDescent="0.2">
      <c r="A34" s="374">
        <v>28</v>
      </c>
      <c r="B34" s="622">
        <v>5.7492220925709839E-3</v>
      </c>
      <c r="C34" s="623">
        <v>3.99179586705776E-3</v>
      </c>
      <c r="D34" s="624">
        <v>3.8600280311559404E-3</v>
      </c>
      <c r="E34" s="640">
        <v>4.5952845772638536E-2</v>
      </c>
      <c r="F34" s="623">
        <v>4.994416810476094E-2</v>
      </c>
      <c r="G34" s="626">
        <v>5.171664493698392E-2</v>
      </c>
      <c r="I34" s="374">
        <v>28</v>
      </c>
      <c r="J34" s="622">
        <v>5.5358185711504772E-3</v>
      </c>
      <c r="K34" s="623">
        <v>3.5704534475878439E-3</v>
      </c>
      <c r="L34" s="624">
        <v>3.4472915706036055E-3</v>
      </c>
      <c r="M34" s="640">
        <v>5.3295932678821878E-2</v>
      </c>
      <c r="N34" s="623">
        <v>5.7407407407407407E-2</v>
      </c>
      <c r="O34" s="626">
        <v>5.8798646362098139E-2</v>
      </c>
      <c r="R34" s="358">
        <v>28</v>
      </c>
      <c r="S34" s="605">
        <v>463</v>
      </c>
      <c r="T34" s="603">
        <v>117</v>
      </c>
      <c r="U34" s="603">
        <v>107</v>
      </c>
      <c r="V34" s="604">
        <v>1143</v>
      </c>
      <c r="W34" s="604">
        <v>352</v>
      </c>
      <c r="X34" s="604">
        <v>345</v>
      </c>
    </row>
    <row r="35" spans="1:24" x14ac:dyDescent="0.2">
      <c r="A35" s="374">
        <v>29</v>
      </c>
      <c r="B35" s="622">
        <v>3.9381563593932321E-3</v>
      </c>
      <c r="C35" s="623">
        <v>1.874600269060274E-3</v>
      </c>
      <c r="D35" s="624">
        <v>1.8151322289364244E-3</v>
      </c>
      <c r="E35" s="640">
        <v>3.791860639735696E-2</v>
      </c>
      <c r="F35" s="623">
        <v>3.7356613541772409E-2</v>
      </c>
      <c r="G35" s="626">
        <v>3.8787483702737942E-2</v>
      </c>
      <c r="I35" s="374">
        <v>29</v>
      </c>
      <c r="J35" s="622">
        <v>4.221822075141133E-3</v>
      </c>
      <c r="K35" s="623">
        <v>2.8563627580702748E-3</v>
      </c>
      <c r="L35" s="624">
        <v>2.722701622642338E-3</v>
      </c>
      <c r="M35" s="640">
        <v>4.4988671917143168E-2</v>
      </c>
      <c r="N35" s="623">
        <v>5.146198830409357E-2</v>
      </c>
      <c r="O35" s="626">
        <v>5.2453468697123522E-2</v>
      </c>
      <c r="R35" s="358">
        <v>29</v>
      </c>
      <c r="S35" s="605">
        <v>336</v>
      </c>
      <c r="T35" s="603">
        <v>84</v>
      </c>
      <c r="U35" s="603">
        <v>82</v>
      </c>
      <c r="V35" s="604">
        <v>987</v>
      </c>
      <c r="W35" s="604">
        <v>295</v>
      </c>
      <c r="X35" s="604">
        <v>292</v>
      </c>
    </row>
    <row r="36" spans="1:24" x14ac:dyDescent="0.2">
      <c r="A36" s="377" t="s">
        <v>100</v>
      </c>
      <c r="B36" s="627">
        <v>1.7150427849085957E-2</v>
      </c>
      <c r="C36" s="628">
        <v>1.0299274419425269E-2</v>
      </c>
      <c r="D36" s="629">
        <v>1.0178526296440962E-2</v>
      </c>
      <c r="E36" s="641">
        <v>0.2811983781348551</v>
      </c>
      <c r="F36" s="628">
        <v>0.27215511115622781</v>
      </c>
      <c r="G36" s="631">
        <v>0.28455019556714473</v>
      </c>
      <c r="I36" s="377" t="s">
        <v>100</v>
      </c>
      <c r="J36" s="627">
        <v>1.891911621569009E-2</v>
      </c>
      <c r="K36" s="628">
        <v>1.2139541721798668E-2</v>
      </c>
      <c r="L36" s="629">
        <v>1.19227982346354E-2</v>
      </c>
      <c r="M36" s="641">
        <v>0.30632574531592766</v>
      </c>
      <c r="N36" s="628">
        <v>0.33859649122807017</v>
      </c>
      <c r="O36" s="631">
        <v>0.35035956006768187</v>
      </c>
      <c r="R36" s="358" t="s">
        <v>100</v>
      </c>
      <c r="S36" s="604">
        <v>1672</v>
      </c>
      <c r="T36" s="604">
        <v>346</v>
      </c>
      <c r="U36" s="604">
        <v>325</v>
      </c>
      <c r="V36" s="604">
        <v>7468</v>
      </c>
      <c r="W36" s="604">
        <v>2179</v>
      </c>
      <c r="X36" s="604">
        <v>2127</v>
      </c>
    </row>
    <row r="37" spans="1:24" ht="13.5" thickBot="1" x14ac:dyDescent="0.25">
      <c r="A37" s="378" t="s">
        <v>34</v>
      </c>
      <c r="B37" s="642">
        <v>20.73</v>
      </c>
      <c r="C37" s="633">
        <v>20.010000000000002</v>
      </c>
      <c r="D37" s="634">
        <v>19.97</v>
      </c>
      <c r="E37" s="635">
        <v>26.82</v>
      </c>
      <c r="F37" s="633">
        <v>26.79</v>
      </c>
      <c r="G37" s="636">
        <v>27.04</v>
      </c>
      <c r="I37" s="378" t="s">
        <v>34</v>
      </c>
      <c r="J37" s="632">
        <v>20.87</v>
      </c>
      <c r="K37" s="643">
        <v>21.200491462415727</v>
      </c>
      <c r="L37" s="644">
        <v>21.485607008760951</v>
      </c>
      <c r="M37" s="645">
        <v>26.975869385406551</v>
      </c>
      <c r="N37" s="643">
        <v>29.568226120857698</v>
      </c>
      <c r="O37" s="646">
        <v>29.864213197969544</v>
      </c>
      <c r="R37" s="358" t="s">
        <v>34</v>
      </c>
    </row>
    <row r="38" spans="1:24" ht="13.5" thickTop="1" x14ac:dyDescent="0.2">
      <c r="S38" s="604" t="e">
        <f>+'vš_druh studia '!#REF!</f>
        <v>#REF!</v>
      </c>
      <c r="T38" s="604" t="e">
        <f>+'vš_druh studia '!#REF!</f>
        <v>#REF!</v>
      </c>
      <c r="U38" s="604" t="e">
        <f>+'vš_druh studia '!#REF!</f>
        <v>#REF!</v>
      </c>
      <c r="V38" s="604" t="e">
        <f>+'vš_druh studia '!#REF!</f>
        <v>#REF!</v>
      </c>
      <c r="W38" s="604" t="e">
        <f>+'vš_druh studia '!#REF!</f>
        <v>#REF!</v>
      </c>
      <c r="X38" s="604" t="e">
        <f>+'vš_druh studia '!#REF!</f>
        <v>#REF!</v>
      </c>
    </row>
    <row r="39" spans="1:24" ht="13.5" thickBot="1" x14ac:dyDescent="0.25">
      <c r="A39" s="718" t="s">
        <v>8</v>
      </c>
      <c r="B39" s="718"/>
      <c r="C39" s="718"/>
      <c r="D39" s="718"/>
      <c r="E39" s="718"/>
      <c r="F39" s="718"/>
      <c r="G39" s="718"/>
      <c r="I39" s="718" t="s">
        <v>9</v>
      </c>
      <c r="J39" s="718"/>
      <c r="K39" s="718"/>
      <c r="L39" s="718"/>
      <c r="M39" s="718"/>
      <c r="N39" s="718"/>
      <c r="O39" s="718"/>
    </row>
    <row r="40" spans="1:24" ht="39" thickTop="1" x14ac:dyDescent="0.2">
      <c r="A40" s="360" t="s">
        <v>103</v>
      </c>
      <c r="B40" s="361" t="s">
        <v>94</v>
      </c>
      <c r="C40" s="362" t="s">
        <v>95</v>
      </c>
      <c r="D40" s="363" t="s">
        <v>96</v>
      </c>
      <c r="E40" s="364" t="s">
        <v>94</v>
      </c>
      <c r="F40" s="362" t="s">
        <v>95</v>
      </c>
      <c r="G40" s="365" t="s">
        <v>96</v>
      </c>
      <c r="I40" s="360" t="s">
        <v>104</v>
      </c>
      <c r="J40" s="361" t="s">
        <v>94</v>
      </c>
      <c r="K40" s="362" t="s">
        <v>95</v>
      </c>
      <c r="L40" s="363" t="s">
        <v>96</v>
      </c>
      <c r="M40" s="364" t="s">
        <v>94</v>
      </c>
      <c r="N40" s="362" t="s">
        <v>95</v>
      </c>
      <c r="O40" s="365" t="s">
        <v>96</v>
      </c>
    </row>
    <row r="41" spans="1:24" ht="14.25" customHeight="1" thickBot="1" x14ac:dyDescent="0.25">
      <c r="A41" s="366"/>
      <c r="B41" s="367" t="s">
        <v>98</v>
      </c>
      <c r="C41" s="368"/>
      <c r="D41" s="369"/>
      <c r="E41" s="370" t="s">
        <v>99</v>
      </c>
      <c r="F41" s="368"/>
      <c r="G41" s="371"/>
      <c r="I41" s="366"/>
      <c r="J41" s="367" t="s">
        <v>98</v>
      </c>
      <c r="K41" s="368"/>
      <c r="L41" s="369"/>
      <c r="M41" s="370" t="s">
        <v>99</v>
      </c>
      <c r="N41" s="368"/>
      <c r="O41" s="371"/>
    </row>
    <row r="42" spans="1:24" ht="13.5" thickTop="1" x14ac:dyDescent="0.2">
      <c r="A42" s="372">
        <v>18</v>
      </c>
      <c r="B42" s="617">
        <f>33.5651449005112%/100</f>
        <v>3.35651449005112E-3</v>
      </c>
      <c r="C42" s="618">
        <f>40%/100</f>
        <v>4.0000000000000001E-3</v>
      </c>
      <c r="D42" s="619">
        <v>4.0000000000000001E-3</v>
      </c>
      <c r="E42" s="620">
        <v>0</v>
      </c>
      <c r="F42" s="618">
        <f>0.0520639642989959/100</f>
        <v>5.2063964298995906E-4</v>
      </c>
      <c r="G42" s="621">
        <f>4.78850758180367%/100</f>
        <v>4.7885075818036702E-4</v>
      </c>
      <c r="I42" s="372">
        <v>18</v>
      </c>
      <c r="J42" s="617">
        <v>3.8465602874352745E-3</v>
      </c>
      <c r="K42" s="618">
        <v>4.20082661426926E-3</v>
      </c>
      <c r="L42" s="619">
        <v>4.1702309666381519E-3</v>
      </c>
      <c r="M42" s="620">
        <v>6.0986022003756742E-4</v>
      </c>
      <c r="N42" s="618">
        <v>9.1858996440463887E-4</v>
      </c>
      <c r="O42" s="621">
        <v>8.4879350066690922E-4</v>
      </c>
    </row>
    <row r="43" spans="1:24" ht="12.75" customHeight="1" x14ac:dyDescent="0.2">
      <c r="A43" s="374">
        <v>19</v>
      </c>
      <c r="B43" s="622">
        <f>4565.07908650155%/100</f>
        <v>0.45650790865015495</v>
      </c>
      <c r="C43" s="623">
        <f>51.0873001932197/100</f>
        <v>0.51087300193219698</v>
      </c>
      <c r="D43" s="624">
        <v>0.52200000000000002</v>
      </c>
      <c r="E43" s="640">
        <v>5.2999999999999999E-2</v>
      </c>
      <c r="F43" s="623">
        <f>382.298252138341%/100</f>
        <v>3.8229825213834105E-2</v>
      </c>
      <c r="G43" s="626">
        <f>320.830007980846%/100</f>
        <v>3.2083000798084599E-2</v>
      </c>
      <c r="I43" s="374">
        <v>19</v>
      </c>
      <c r="J43" s="622">
        <v>0.46011835570115189</v>
      </c>
      <c r="K43" s="623">
        <v>0.52373128260722268</v>
      </c>
      <c r="L43" s="624">
        <v>0.53836968919304251</v>
      </c>
      <c r="M43" s="625">
        <v>4.9471861049447466E-2</v>
      </c>
      <c r="N43" s="623">
        <v>4.1279136525433462E-2</v>
      </c>
      <c r="O43" s="626">
        <v>3.6134351885534134E-2</v>
      </c>
      <c r="R43" s="357" t="s">
        <v>101</v>
      </c>
      <c r="S43" s="602" t="s">
        <v>105</v>
      </c>
      <c r="T43" s="602" t="s">
        <v>106</v>
      </c>
      <c r="U43" s="602" t="s">
        <v>107</v>
      </c>
      <c r="V43" s="602" t="s">
        <v>108</v>
      </c>
      <c r="W43" s="602" t="s">
        <v>106</v>
      </c>
      <c r="X43" s="602" t="s">
        <v>109</v>
      </c>
    </row>
    <row r="44" spans="1:24" x14ac:dyDescent="0.2">
      <c r="A44" s="374">
        <v>20</v>
      </c>
      <c r="B44" s="622">
        <f>2131.49639119847%/100</f>
        <v>0.21314963911984702</v>
      </c>
      <c r="C44" s="623">
        <f>2040.40049183207%/100</f>
        <v>0.20404004918320698</v>
      </c>
      <c r="D44" s="624">
        <v>0.20399999999999999</v>
      </c>
      <c r="E44" s="640">
        <v>5.7000000000000002E-2</v>
      </c>
      <c r="F44" s="623">
        <f>481.219784306434%/100</f>
        <v>4.8121978430643406E-2</v>
      </c>
      <c r="G44" s="626">
        <f>453.312051077414%/100</f>
        <v>4.5331205107741405E-2</v>
      </c>
      <c r="I44" s="374">
        <v>20</v>
      </c>
      <c r="J44" s="622">
        <v>0.22379794991017646</v>
      </c>
      <c r="K44" s="623">
        <v>0.21402195270682295</v>
      </c>
      <c r="L44" s="624">
        <v>0.21328771029369833</v>
      </c>
      <c r="M44" s="625">
        <v>5.4472714853755516E-2</v>
      </c>
      <c r="N44" s="623">
        <v>4.5642438856355494E-2</v>
      </c>
      <c r="O44" s="626">
        <v>4.2985327998059902E-2</v>
      </c>
      <c r="R44" s="383"/>
      <c r="S44" s="719" t="s">
        <v>98</v>
      </c>
      <c r="T44" s="719"/>
      <c r="U44" s="719"/>
      <c r="V44" s="719" t="s">
        <v>99</v>
      </c>
      <c r="W44" s="719"/>
      <c r="X44" s="719"/>
    </row>
    <row r="45" spans="1:24" x14ac:dyDescent="0.2">
      <c r="A45" s="374">
        <v>21</v>
      </c>
      <c r="B45" s="622">
        <f>1039.53228177171%/100</f>
        <v>0.10395322817717099</v>
      </c>
      <c r="C45" s="623">
        <f>930.08958369928%/100</f>
        <v>9.3008958369927994E-2</v>
      </c>
      <c r="D45" s="624">
        <v>9.0999999999999998E-2</v>
      </c>
      <c r="E45" s="640">
        <v>6.0999999999999999E-2</v>
      </c>
      <c r="F45" s="623">
        <f>592.785422089996%/100</f>
        <v>5.9278542208999606E-2</v>
      </c>
      <c r="G45" s="626">
        <f>587.390263367917%/100</f>
        <v>5.8739026336791698E-2</v>
      </c>
      <c r="I45" s="374">
        <v>21</v>
      </c>
      <c r="J45" s="622">
        <v>0.10075029060551621</v>
      </c>
      <c r="K45" s="623">
        <v>8.9640219527068229E-2</v>
      </c>
      <c r="L45" s="624">
        <v>8.7004562303963501E-2</v>
      </c>
      <c r="M45" s="625">
        <v>5.4155587539335984E-2</v>
      </c>
      <c r="N45" s="623">
        <v>5.080950740613159E-2</v>
      </c>
      <c r="O45" s="626">
        <v>5.0018188432157148E-2</v>
      </c>
      <c r="R45" s="358">
        <v>18</v>
      </c>
      <c r="S45" s="605">
        <v>7634</v>
      </c>
      <c r="T45" s="605">
        <v>5655</v>
      </c>
      <c r="U45" s="603">
        <v>5530</v>
      </c>
      <c r="V45" s="604">
        <v>191</v>
      </c>
      <c r="W45" s="604">
        <v>73</v>
      </c>
      <c r="X45" s="604">
        <v>43</v>
      </c>
    </row>
    <row r="46" spans="1:24" x14ac:dyDescent="0.2">
      <c r="A46" s="374">
        <v>22</v>
      </c>
      <c r="B46" s="622">
        <f>607.572998705658%/100</f>
        <v>6.0757299870565801E-2</v>
      </c>
      <c r="C46" s="623">
        <f>509.221851396452%/100</f>
        <v>5.09221851396452E-2</v>
      </c>
      <c r="D46" s="624">
        <v>4.9000000000000002E-2</v>
      </c>
      <c r="E46" s="640">
        <v>7.2999999999999995E-2</v>
      </c>
      <c r="F46" s="623">
        <f>701.375976199331%/100</f>
        <v>7.0137597619933101E-2</v>
      </c>
      <c r="G46" s="626">
        <f>695.929768555467%/100</f>
        <v>6.9592976855546704E-2</v>
      </c>
      <c r="I46" s="374">
        <v>22</v>
      </c>
      <c r="J46" s="622">
        <v>6.8931628447638171E-2</v>
      </c>
      <c r="K46" s="623">
        <v>5.9336675926553291E-2</v>
      </c>
      <c r="L46" s="624">
        <v>5.6333761049329911E-2</v>
      </c>
      <c r="M46" s="625">
        <v>6.1571487814992804E-2</v>
      </c>
      <c r="N46" s="623">
        <v>5.8847169594672177E-2</v>
      </c>
      <c r="O46" s="626">
        <v>5.7839214259730813E-2</v>
      </c>
      <c r="R46" s="358">
        <v>19</v>
      </c>
      <c r="S46" s="605">
        <v>37325</v>
      </c>
      <c r="T46" s="605">
        <v>22106</v>
      </c>
      <c r="U46" s="603">
        <v>21496</v>
      </c>
      <c r="V46" s="604">
        <v>1444</v>
      </c>
      <c r="W46" s="604">
        <v>494</v>
      </c>
      <c r="X46" s="604">
        <v>362</v>
      </c>
    </row>
    <row r="47" spans="1:24" x14ac:dyDescent="0.2">
      <c r="A47" s="374">
        <v>23</v>
      </c>
      <c r="B47" s="622">
        <f>477.151569664129%/100</f>
        <v>4.7715156966412903E-2</v>
      </c>
      <c r="C47" s="623">
        <f>439.311435095732%/100</f>
        <v>4.3931143509573195E-2</v>
      </c>
      <c r="D47" s="624">
        <v>4.2000000000000003E-2</v>
      </c>
      <c r="E47" s="640">
        <v>8.1000000000000003E-2</v>
      </c>
      <c r="F47" s="623">
        <f>804.016362960208%/100</f>
        <v>8.0401636296020804E-2</v>
      </c>
      <c r="G47" s="626">
        <f>803.67118914605%/100</f>
        <v>8.0367118914605004E-2</v>
      </c>
      <c r="I47" s="374">
        <v>23</v>
      </c>
      <c r="J47" s="622">
        <v>4.1530170136320405E-2</v>
      </c>
      <c r="K47" s="623">
        <v>3.5588454502337559E-2</v>
      </c>
      <c r="L47" s="624">
        <v>3.3272740233818078E-2</v>
      </c>
      <c r="M47" s="625">
        <v>6.566974849364525E-2</v>
      </c>
      <c r="N47" s="623">
        <v>6.4760592490527041E-2</v>
      </c>
      <c r="O47" s="626">
        <v>6.4811446586637567E-2</v>
      </c>
      <c r="R47" s="358">
        <v>20</v>
      </c>
      <c r="S47" s="605">
        <v>13058</v>
      </c>
      <c r="T47" s="605">
        <v>6499</v>
      </c>
      <c r="U47" s="603">
        <v>6209</v>
      </c>
      <c r="V47" s="604">
        <v>1518</v>
      </c>
      <c r="W47" s="604">
        <v>504</v>
      </c>
      <c r="X47" s="604">
        <v>418</v>
      </c>
    </row>
    <row r="48" spans="1:24" x14ac:dyDescent="0.2">
      <c r="A48" s="374">
        <v>24</v>
      </c>
      <c r="B48" s="622">
        <f>374.70109470636%/100</f>
        <v>3.7470109470635997E-2</v>
      </c>
      <c r="C48" s="623">
        <f>353.240822062182%/100</f>
        <v>3.5324082206218202E-2</v>
      </c>
      <c r="D48" s="624">
        <v>3.3000000000000002E-2</v>
      </c>
      <c r="E48" s="640">
        <v>8.4000000000000005E-2</v>
      </c>
      <c r="F48" s="623">
        <f>876.162142060245%/100</f>
        <v>8.7616214206024487E-2</v>
      </c>
      <c r="G48" s="626">
        <f>883.479648842777%/100</f>
        <v>8.8347964884277708E-2</v>
      </c>
      <c r="I48" s="374">
        <v>24</v>
      </c>
      <c r="J48" s="622">
        <v>2.8976011835570116E-2</v>
      </c>
      <c r="K48" s="623">
        <v>2.5086387966664406E-2</v>
      </c>
      <c r="L48" s="624">
        <v>2.3257057313943542E-2</v>
      </c>
      <c r="M48" s="625">
        <v>7.1280462517990875E-2</v>
      </c>
      <c r="N48" s="623">
        <v>7.0846251004707775E-2</v>
      </c>
      <c r="O48" s="626">
        <v>7.0449860555353461E-2</v>
      </c>
      <c r="R48" s="358">
        <v>21</v>
      </c>
      <c r="S48" s="605">
        <v>7508</v>
      </c>
      <c r="T48" s="605">
        <v>3573</v>
      </c>
      <c r="U48" s="603">
        <v>3350</v>
      </c>
      <c r="V48" s="604">
        <v>1921</v>
      </c>
      <c r="W48" s="604">
        <v>692</v>
      </c>
      <c r="X48" s="604">
        <v>635</v>
      </c>
    </row>
    <row r="49" spans="1:24" x14ac:dyDescent="0.2">
      <c r="A49" s="374">
        <v>25</v>
      </c>
      <c r="B49" s="622">
        <f>216.528091613101%/100</f>
        <v>2.1652809161310099E-2</v>
      </c>
      <c r="C49" s="623">
        <f>196.908484103285%/100</f>
        <v>1.9690848410328497E-2</v>
      </c>
      <c r="D49" s="624">
        <v>1.7999999999999999E-2</v>
      </c>
      <c r="E49" s="640">
        <v>7.4999999999999997E-2</v>
      </c>
      <c r="F49" s="623">
        <f>797.322424693195%/100</f>
        <v>7.9732242469319495E-2</v>
      </c>
      <c r="G49" s="626">
        <f>803.67118914605%/100</f>
        <v>8.0367118914605004E-2</v>
      </c>
      <c r="I49" s="374">
        <v>25</v>
      </c>
      <c r="J49" s="622">
        <v>1.84296734650745E-2</v>
      </c>
      <c r="K49" s="623">
        <v>1.4990853038823769E-2</v>
      </c>
      <c r="L49" s="624">
        <v>1.3722554890219561E-2</v>
      </c>
      <c r="M49" s="625">
        <v>6.7816456468177494E-2</v>
      </c>
      <c r="N49" s="623">
        <v>6.929613043977495E-2</v>
      </c>
      <c r="O49" s="626">
        <v>7.014672001940099E-2</v>
      </c>
      <c r="R49" s="358">
        <v>22</v>
      </c>
      <c r="S49" s="605">
        <v>5385</v>
      </c>
      <c r="T49" s="605">
        <v>2596</v>
      </c>
      <c r="U49" s="603">
        <v>2421</v>
      </c>
      <c r="V49" s="604">
        <v>2290</v>
      </c>
      <c r="W49" s="604">
        <v>841</v>
      </c>
      <c r="X49" s="604">
        <v>793</v>
      </c>
    </row>
    <row r="50" spans="1:24" x14ac:dyDescent="0.2">
      <c r="A50" s="374">
        <v>26</v>
      </c>
      <c r="B50" s="622">
        <f>129.105148849352%/100</f>
        <v>1.2910514884935198E-2</v>
      </c>
      <c r="C50" s="623">
        <f>103.109081327947%/100</f>
        <v>1.0310908132794701E-2</v>
      </c>
      <c r="D50" s="624">
        <v>0.01</v>
      </c>
      <c r="E50" s="640">
        <v>6.8000000000000005E-2</v>
      </c>
      <c r="F50" s="623">
        <f>713.276310896244%/100</f>
        <v>7.1327631089624394E-2</v>
      </c>
      <c r="G50" s="626">
        <f>725.458898643256%/100</f>
        <v>7.2545889864325599E-2</v>
      </c>
      <c r="I50" s="374">
        <v>26</v>
      </c>
      <c r="J50" s="622">
        <v>1.0504068477227095E-2</v>
      </c>
      <c r="K50" s="623">
        <v>7.5547123788874578E-3</v>
      </c>
      <c r="L50" s="624">
        <v>6.665240946678073E-3</v>
      </c>
      <c r="M50" s="625">
        <v>6.4791549776791163E-2</v>
      </c>
      <c r="N50" s="623">
        <v>6.9812837294752558E-2</v>
      </c>
      <c r="O50" s="626">
        <v>7.0389232448162961E-2</v>
      </c>
      <c r="R50" s="358">
        <v>23</v>
      </c>
      <c r="S50" s="605">
        <v>3631</v>
      </c>
      <c r="T50" s="605">
        <v>1760</v>
      </c>
      <c r="U50" s="603">
        <v>1630</v>
      </c>
      <c r="V50" s="604">
        <v>2274</v>
      </c>
      <c r="W50" s="604">
        <v>857</v>
      </c>
      <c r="X50" s="604">
        <v>810</v>
      </c>
    </row>
    <row r="51" spans="1:24" x14ac:dyDescent="0.2">
      <c r="A51" s="374">
        <v>27</v>
      </c>
      <c r="B51" s="622">
        <f>88.5198429238971%/100</f>
        <v>8.8519842923897099E-3</v>
      </c>
      <c r="C51" s="623">
        <f>65.3434041805726%/100</f>
        <v>6.5343404180572603E-3</v>
      </c>
      <c r="D51" s="624">
        <v>6.0000000000000001E-3</v>
      </c>
      <c r="E51" s="640">
        <v>5.8000000000000003E-2</v>
      </c>
      <c r="F51" s="623">
        <f>585.347712904425%/100</f>
        <v>5.8534771290442496E-2</v>
      </c>
      <c r="G51" s="626">
        <f>592.976855546688%/100</f>
        <v>5.92976855546688E-2</v>
      </c>
      <c r="I51" s="374">
        <v>27</v>
      </c>
      <c r="J51" s="622">
        <v>7.1119095424284047E-3</v>
      </c>
      <c r="K51" s="623">
        <v>4.6242970390947893E-3</v>
      </c>
      <c r="L51" s="624">
        <v>4.1880524664955803E-3</v>
      </c>
      <c r="M51" s="625">
        <v>5.7448832727538847E-2</v>
      </c>
      <c r="N51" s="623">
        <v>5.8330462739694576E-2</v>
      </c>
      <c r="O51" s="626">
        <v>5.9597429368255128E-2</v>
      </c>
      <c r="R51" s="358">
        <v>24</v>
      </c>
      <c r="S51" s="605">
        <v>2384</v>
      </c>
      <c r="T51" s="605">
        <v>1125</v>
      </c>
      <c r="U51" s="603">
        <v>1019</v>
      </c>
      <c r="V51" s="604">
        <v>2174</v>
      </c>
      <c r="W51" s="604">
        <v>890</v>
      </c>
      <c r="X51" s="604">
        <v>841</v>
      </c>
    </row>
    <row r="52" spans="1:24" x14ac:dyDescent="0.2">
      <c r="A52" s="374">
        <v>28</v>
      </c>
      <c r="B52" s="622">
        <f>65.5946295768159%/100</f>
        <v>6.5594629576815897E-3</v>
      </c>
      <c r="C52" s="623">
        <f>42.5083435798349%/100</f>
        <v>4.2508343579834903E-3</v>
      </c>
      <c r="D52" s="624">
        <v>4.0000000000000001E-3</v>
      </c>
      <c r="E52" s="640">
        <v>5.0999999999999997E-2</v>
      </c>
      <c r="F52" s="623">
        <f>558.57195983637%/100</f>
        <v>5.585719598363699E-2</v>
      </c>
      <c r="G52" s="626">
        <f>569.832402234637%/100</f>
        <v>5.6983240223463703E-2</v>
      </c>
      <c r="I52" s="374">
        <v>28</v>
      </c>
      <c r="J52" s="622">
        <v>5.9917573708126379E-3</v>
      </c>
      <c r="K52" s="623">
        <v>3.9467443593739415E-3</v>
      </c>
      <c r="L52" s="624">
        <v>3.6534074707727402E-3</v>
      </c>
      <c r="M52" s="625">
        <v>5.1886907520796235E-2</v>
      </c>
      <c r="N52" s="623">
        <v>5.3507865426570218E-2</v>
      </c>
      <c r="O52" s="626">
        <v>5.4201527828301198E-2</v>
      </c>
      <c r="R52" s="358">
        <v>25</v>
      </c>
      <c r="S52" s="605">
        <v>1410</v>
      </c>
      <c r="T52" s="605">
        <v>637</v>
      </c>
      <c r="U52" s="603">
        <v>581</v>
      </c>
      <c r="V52" s="604">
        <v>1934</v>
      </c>
      <c r="W52" s="604">
        <v>745</v>
      </c>
      <c r="X52" s="604">
        <v>699</v>
      </c>
    </row>
    <row r="53" spans="1:24" x14ac:dyDescent="0.2">
      <c r="A53" s="374">
        <v>29</v>
      </c>
      <c r="B53" s="622">
        <f>49.0314371585898%/100</f>
        <v>4.9031437158589802E-3</v>
      </c>
      <c r="C53" s="623">
        <f>30.2125417178992%/100</f>
        <v>3.0212541717899201E-3</v>
      </c>
      <c r="D53" s="624">
        <v>3.0000000000000001E-3</v>
      </c>
      <c r="E53" s="640">
        <v>4.5999999999999999E-2</v>
      </c>
      <c r="F53" s="623">
        <v>4.8000000000000001E-2</v>
      </c>
      <c r="G53" s="626">
        <f>486.83160415004%/100</f>
        <v>4.8683160415004E-2</v>
      </c>
      <c r="I53" s="374">
        <v>29</v>
      </c>
      <c r="J53" s="622">
        <v>5.3788439184191059E-3</v>
      </c>
      <c r="K53" s="623">
        <v>2.8287824378345418E-3</v>
      </c>
      <c r="L53" s="624">
        <v>2.6732249786142002E-3</v>
      </c>
      <c r="M53" s="625">
        <v>4.4836923377161948E-2</v>
      </c>
      <c r="N53" s="623">
        <v>4.7249971294063615E-2</v>
      </c>
      <c r="O53" s="626">
        <v>4.8017460894870856E-2</v>
      </c>
      <c r="R53" s="358">
        <v>26</v>
      </c>
      <c r="S53" s="605">
        <v>981</v>
      </c>
      <c r="T53" s="605">
        <v>381</v>
      </c>
      <c r="U53" s="603">
        <v>344</v>
      </c>
      <c r="V53" s="604">
        <v>1686</v>
      </c>
      <c r="W53" s="604">
        <v>624</v>
      </c>
      <c r="X53" s="604">
        <v>591</v>
      </c>
    </row>
    <row r="54" spans="1:24" x14ac:dyDescent="0.2">
      <c r="A54" s="377" t="s">
        <v>100</v>
      </c>
      <c r="B54" s="627">
        <v>1.8679999999999999E-2</v>
      </c>
      <c r="C54" s="628">
        <v>1.4E-2</v>
      </c>
      <c r="D54" s="629">
        <v>1.4E-2</v>
      </c>
      <c r="E54" s="641">
        <v>0.29299999999999998</v>
      </c>
      <c r="F54" s="628">
        <f>30.2%</f>
        <v>0.30199999999999999</v>
      </c>
      <c r="G54" s="631">
        <v>0.307</v>
      </c>
      <c r="I54" s="377" t="s">
        <v>100</v>
      </c>
      <c r="J54" s="627">
        <v>2.4E-2</v>
      </c>
      <c r="K54" s="628">
        <v>1.4E-2</v>
      </c>
      <c r="L54" s="629">
        <v>1.2999999999999999E-2</v>
      </c>
      <c r="M54" s="630">
        <v>0.35599999999999998</v>
      </c>
      <c r="N54" s="628">
        <v>0.36899999999999999</v>
      </c>
      <c r="O54" s="631">
        <v>0.374</v>
      </c>
      <c r="R54" s="358">
        <v>27</v>
      </c>
      <c r="S54" s="605">
        <v>629</v>
      </c>
      <c r="T54" s="605">
        <v>225</v>
      </c>
      <c r="U54" s="603">
        <v>202</v>
      </c>
      <c r="V54" s="604">
        <v>1480</v>
      </c>
      <c r="W54" s="604">
        <v>590</v>
      </c>
      <c r="X54" s="604">
        <v>560</v>
      </c>
    </row>
    <row r="55" spans="1:24" ht="13.5" thickBot="1" x14ac:dyDescent="0.25">
      <c r="A55" s="378" t="s">
        <v>34</v>
      </c>
      <c r="B55" s="642">
        <v>20.420000000000002</v>
      </c>
      <c r="C55" s="633">
        <v>20.5</v>
      </c>
      <c r="D55" s="634">
        <v>20.3</v>
      </c>
      <c r="E55" s="635">
        <v>25.9</v>
      </c>
      <c r="F55" s="633">
        <v>27.68</v>
      </c>
      <c r="G55" s="636">
        <v>27.81</v>
      </c>
      <c r="I55" s="378" t="s">
        <v>34</v>
      </c>
      <c r="J55" s="632">
        <v>20.69</v>
      </c>
      <c r="K55" s="633">
        <v>20.309999999999999</v>
      </c>
      <c r="L55" s="634">
        <v>20.239999999999998</v>
      </c>
      <c r="M55" s="635">
        <v>28.37</v>
      </c>
      <c r="N55" s="633">
        <v>28.64</v>
      </c>
      <c r="O55" s="636">
        <v>28.75</v>
      </c>
      <c r="R55" s="358">
        <v>28</v>
      </c>
      <c r="S55" s="605">
        <v>473</v>
      </c>
      <c r="T55" s="605">
        <v>181</v>
      </c>
      <c r="U55" s="603">
        <v>168</v>
      </c>
      <c r="V55" s="604">
        <v>1224</v>
      </c>
      <c r="W55" s="604">
        <v>492</v>
      </c>
      <c r="X55" s="604">
        <v>476</v>
      </c>
    </row>
    <row r="56" spans="1:24" ht="13.5" thickTop="1" x14ac:dyDescent="0.2">
      <c r="R56" s="358">
        <v>29</v>
      </c>
      <c r="S56" s="605">
        <v>324</v>
      </c>
      <c r="T56" s="605">
        <v>85</v>
      </c>
      <c r="U56" s="603">
        <v>79</v>
      </c>
      <c r="V56" s="604">
        <v>1010</v>
      </c>
      <c r="W56" s="604">
        <v>368</v>
      </c>
      <c r="X56" s="604">
        <v>357</v>
      </c>
    </row>
    <row r="57" spans="1:24" ht="13.5" thickBot="1" x14ac:dyDescent="0.25">
      <c r="A57" s="718" t="s">
        <v>10</v>
      </c>
      <c r="B57" s="718"/>
      <c r="C57" s="718"/>
      <c r="D57" s="718"/>
      <c r="E57" s="718"/>
      <c r="F57" s="718"/>
      <c r="G57" s="718"/>
      <c r="I57" s="718" t="s">
        <v>11</v>
      </c>
      <c r="J57" s="718"/>
      <c r="K57" s="718"/>
      <c r="L57" s="718"/>
      <c r="M57" s="718"/>
      <c r="N57" s="718"/>
      <c r="O57" s="718"/>
    </row>
    <row r="58" spans="1:24" ht="39" thickTop="1" x14ac:dyDescent="0.2">
      <c r="A58" s="360" t="s">
        <v>110</v>
      </c>
      <c r="B58" s="361" t="s">
        <v>94</v>
      </c>
      <c r="C58" s="362" t="s">
        <v>95</v>
      </c>
      <c r="D58" s="363" t="s">
        <v>96</v>
      </c>
      <c r="E58" s="364" t="s">
        <v>94</v>
      </c>
      <c r="F58" s="362" t="s">
        <v>95</v>
      </c>
      <c r="G58" s="365" t="s">
        <v>96</v>
      </c>
      <c r="I58" s="360" t="s">
        <v>111</v>
      </c>
      <c r="J58" s="361" t="s">
        <v>94</v>
      </c>
      <c r="K58" s="362" t="s">
        <v>95</v>
      </c>
      <c r="L58" s="363" t="s">
        <v>96</v>
      </c>
      <c r="M58" s="364" t="s">
        <v>94</v>
      </c>
      <c r="N58" s="362" t="s">
        <v>95</v>
      </c>
      <c r="O58" s="365" t="s">
        <v>96</v>
      </c>
    </row>
    <row r="59" spans="1:24" ht="13.5" thickBot="1" x14ac:dyDescent="0.25">
      <c r="A59" s="366"/>
      <c r="B59" s="367" t="s">
        <v>98</v>
      </c>
      <c r="C59" s="368"/>
      <c r="D59" s="369"/>
      <c r="E59" s="370" t="s">
        <v>99</v>
      </c>
      <c r="F59" s="368"/>
      <c r="G59" s="371"/>
      <c r="I59" s="366"/>
      <c r="J59" s="367" t="s">
        <v>98</v>
      </c>
      <c r="K59" s="368"/>
      <c r="L59" s="369"/>
      <c r="M59" s="370" t="s">
        <v>99</v>
      </c>
      <c r="N59" s="368"/>
      <c r="O59" s="371"/>
      <c r="P59" s="247"/>
    </row>
    <row r="60" spans="1:24" ht="13.5" thickTop="1" x14ac:dyDescent="0.2">
      <c r="A60" s="372">
        <v>18</v>
      </c>
      <c r="B60" s="617">
        <v>3.3312468835867133E-3</v>
      </c>
      <c r="C60" s="618">
        <v>4.0000000000000001E-3</v>
      </c>
      <c r="D60" s="637">
        <v>3.9402985074626865E-3</v>
      </c>
      <c r="E60" s="620">
        <v>3.0496387351036875E-4</v>
      </c>
      <c r="F60" s="618">
        <v>4.1681863179284114E-4</v>
      </c>
      <c r="G60" s="621">
        <v>3.8785460992907798E-4</v>
      </c>
      <c r="I60" s="372">
        <v>18</v>
      </c>
      <c r="J60" s="617">
        <v>5.0254893647822809E-3</v>
      </c>
      <c r="K60" s="618">
        <v>5.8701657458563542E-3</v>
      </c>
      <c r="L60" s="619">
        <v>6.0122757169991988E-3</v>
      </c>
      <c r="M60" s="620">
        <v>3.773268489015596E-4</v>
      </c>
      <c r="N60" s="618">
        <v>3.3658700774150119E-4</v>
      </c>
      <c r="O60" s="621">
        <v>3.1336735607485005E-4</v>
      </c>
      <c r="P60" s="247"/>
      <c r="T60" s="403"/>
      <c r="U60" s="403"/>
    </row>
    <row r="61" spans="1:24" x14ac:dyDescent="0.2">
      <c r="A61" s="374">
        <v>19</v>
      </c>
      <c r="B61" s="622">
        <v>0.47048027244082796</v>
      </c>
      <c r="C61" s="623">
        <v>0.52900000000000003</v>
      </c>
      <c r="D61" s="638">
        <v>0.54200426439232408</v>
      </c>
      <c r="E61" s="625">
        <v>5.4565074598855207E-2</v>
      </c>
      <c r="F61" s="623">
        <v>3.5481686031365603E-2</v>
      </c>
      <c r="G61" s="626">
        <v>2.9753989361702128E-2</v>
      </c>
      <c r="I61" s="374">
        <v>19</v>
      </c>
      <c r="J61" s="622">
        <v>0.47274757773480724</v>
      </c>
      <c r="K61" s="623">
        <v>0.52667847705981263</v>
      </c>
      <c r="L61" s="624">
        <v>0.53736872674756286</v>
      </c>
      <c r="M61" s="625">
        <v>5.5949186651014587E-2</v>
      </c>
      <c r="N61" s="623">
        <v>3.9380679905755639E-2</v>
      </c>
      <c r="O61" s="626">
        <v>3.2993105918166357E-2</v>
      </c>
      <c r="P61" s="247"/>
      <c r="T61" s="403"/>
      <c r="U61" s="403"/>
    </row>
    <row r="62" spans="1:24" x14ac:dyDescent="0.2">
      <c r="A62" s="374">
        <v>20</v>
      </c>
      <c r="B62" s="622">
        <v>0.22869964671808529</v>
      </c>
      <c r="C62" s="623">
        <v>0.221</v>
      </c>
      <c r="D62" s="638">
        <v>0.22021321961620469</v>
      </c>
      <c r="E62" s="625">
        <v>5.6441775358919026E-2</v>
      </c>
      <c r="F62" s="623">
        <v>4.9861928828218618E-2</v>
      </c>
      <c r="G62" s="626">
        <v>4.6376329787234043E-2</v>
      </c>
      <c r="I62" s="374">
        <v>20</v>
      </c>
      <c r="J62" s="622">
        <v>0.22362393621971521</v>
      </c>
      <c r="K62" s="623">
        <v>0.21602510208983905</v>
      </c>
      <c r="L62" s="624">
        <v>0.21534307646421677</v>
      </c>
      <c r="M62" s="625">
        <v>6.0665772262284083E-2</v>
      </c>
      <c r="N62" s="623">
        <v>5.2086839447997309E-2</v>
      </c>
      <c r="O62" s="626">
        <v>4.7676604888530753E-2</v>
      </c>
      <c r="P62" s="247"/>
      <c r="T62" s="403"/>
      <c r="U62" s="403"/>
    </row>
    <row r="63" spans="1:24" x14ac:dyDescent="0.2">
      <c r="A63" s="374">
        <v>21</v>
      </c>
      <c r="B63" s="622">
        <v>9.8473355329464565E-2</v>
      </c>
      <c r="C63" s="623">
        <v>8.6999999999999994E-2</v>
      </c>
      <c r="D63" s="638">
        <v>8.4759061833688698E-2</v>
      </c>
      <c r="E63" s="625">
        <v>5.7825842169466082E-2</v>
      </c>
      <c r="F63" s="623">
        <v>5.26233522638462E-2</v>
      </c>
      <c r="G63" s="626">
        <v>5.0753546099290781E-2</v>
      </c>
      <c r="I63" s="374">
        <v>21</v>
      </c>
      <c r="J63" s="622">
        <v>9.623915538689029E-2</v>
      </c>
      <c r="K63" s="623">
        <v>8.5290055248618782E-2</v>
      </c>
      <c r="L63" s="624">
        <v>8.3434061190210823E-2</v>
      </c>
      <c r="M63" s="625">
        <v>5.7898708703672648E-2</v>
      </c>
      <c r="N63" s="623">
        <v>5.3559407606866373E-2</v>
      </c>
      <c r="O63" s="626">
        <v>5.2063747873578654E-2</v>
      </c>
      <c r="P63" s="247"/>
      <c r="Q63" s="8" t="s">
        <v>112</v>
      </c>
      <c r="T63" s="403"/>
      <c r="U63" s="403"/>
    </row>
    <row r="64" spans="1:24" x14ac:dyDescent="0.2">
      <c r="A64" s="374">
        <v>22</v>
      </c>
      <c r="B64" s="622">
        <v>6.5829257683616416E-2</v>
      </c>
      <c r="C64" s="623">
        <v>5.7000000000000002E-2</v>
      </c>
      <c r="D64" s="638">
        <v>5.4788912579957355E-2</v>
      </c>
      <c r="E64" s="625">
        <v>6.5356103969222104E-2</v>
      </c>
      <c r="F64" s="623">
        <v>6.2887511071744909E-2</v>
      </c>
      <c r="G64" s="626">
        <v>6.2222960992907798E-2</v>
      </c>
      <c r="I64" s="374">
        <v>22</v>
      </c>
      <c r="J64" s="622">
        <v>6.7358102309036577E-2</v>
      </c>
      <c r="K64" s="623">
        <v>6.0323084314196487E-2</v>
      </c>
      <c r="L64" s="624">
        <v>5.7438425191906194E-2</v>
      </c>
      <c r="M64" s="625">
        <v>6.6095086365923192E-2</v>
      </c>
      <c r="N64" s="623">
        <v>6.3951531470885226E-2</v>
      </c>
      <c r="O64" s="626">
        <v>6.388217387411585E-2</v>
      </c>
      <c r="P64" s="247"/>
      <c r="S64" s="392" t="s">
        <v>59</v>
      </c>
      <c r="T64" s="403" t="s">
        <v>60</v>
      </c>
      <c r="U64" s="403" t="s">
        <v>61</v>
      </c>
      <c r="V64" s="392" t="s">
        <v>57</v>
      </c>
    </row>
    <row r="65" spans="1:22" x14ac:dyDescent="0.2">
      <c r="A65" s="374">
        <v>23</v>
      </c>
      <c r="B65" s="622">
        <v>4.3391082018693169E-2</v>
      </c>
      <c r="C65" s="623">
        <v>3.7999999999999999E-2</v>
      </c>
      <c r="D65" s="638">
        <v>3.5837953091684437E-2</v>
      </c>
      <c r="E65" s="625">
        <v>6.7913108754809048E-2</v>
      </c>
      <c r="F65" s="623">
        <v>6.8722971916844677E-2</v>
      </c>
      <c r="G65" s="626">
        <v>6.8927304964538999E-2</v>
      </c>
      <c r="I65" s="374">
        <v>23</v>
      </c>
      <c r="J65" s="622">
        <v>4.2571892417301749E-2</v>
      </c>
      <c r="K65" s="623">
        <v>3.7307830891184245E-2</v>
      </c>
      <c r="L65" s="624">
        <v>3.5320157606392164E-2</v>
      </c>
      <c r="M65" s="625">
        <v>6.4690591983900717E-2</v>
      </c>
      <c r="N65" s="623">
        <v>6.2605183439919221E-2</v>
      </c>
      <c r="O65" s="626">
        <v>6.31211388665055E-2</v>
      </c>
      <c r="P65" s="247"/>
      <c r="Q65" s="8" t="s">
        <v>62</v>
      </c>
      <c r="R65" s="8">
        <v>18</v>
      </c>
      <c r="S65" s="392">
        <v>7</v>
      </c>
      <c r="T65" s="403">
        <v>3.8785460992907798E-2</v>
      </c>
      <c r="U65" s="403">
        <f t="shared" ref="U65:U75" si="1">T65/100</f>
        <v>3.8785460992907798E-4</v>
      </c>
      <c r="V65" s="392">
        <v>3.8798359383660351E-2</v>
      </c>
    </row>
    <row r="66" spans="1:22" x14ac:dyDescent="0.2">
      <c r="A66" s="374">
        <v>24</v>
      </c>
      <c r="B66" s="622">
        <v>2.406136284068365E-2</v>
      </c>
      <c r="C66" s="623">
        <v>0.02</v>
      </c>
      <c r="D66" s="638">
        <v>1.8473347547974413E-2</v>
      </c>
      <c r="E66" s="625">
        <v>6.2705264145631989E-2</v>
      </c>
      <c r="F66" s="623">
        <v>6.4033762309175221E-2</v>
      </c>
      <c r="G66" s="626">
        <v>6.4494680851063829E-2</v>
      </c>
      <c r="I66" s="374">
        <v>24</v>
      </c>
      <c r="J66" s="622">
        <v>2.7567807914628727E-2</v>
      </c>
      <c r="K66" s="623">
        <v>2.3585755464809031E-2</v>
      </c>
      <c r="L66" s="624">
        <v>2.2055476194213774E-2</v>
      </c>
      <c r="M66" s="625">
        <v>6.3642461848063062E-2</v>
      </c>
      <c r="N66" s="623">
        <v>6.4792998990238979E-2</v>
      </c>
      <c r="O66" s="626">
        <v>6.6165278896946914E-2</v>
      </c>
      <c r="P66" s="247"/>
      <c r="R66" s="8">
        <v>19</v>
      </c>
      <c r="S66" s="392">
        <v>537</v>
      </c>
      <c r="T66" s="403">
        <v>2.9753989361702127</v>
      </c>
      <c r="U66" s="403">
        <f t="shared" si="1"/>
        <v>2.9753989361702128E-2</v>
      </c>
      <c r="V66" s="392">
        <v>3.0151867863873187</v>
      </c>
    </row>
    <row r="67" spans="1:22" x14ac:dyDescent="0.2">
      <c r="A67" s="374">
        <v>25</v>
      </c>
      <c r="B67" s="622">
        <v>1.4757211512958975E-2</v>
      </c>
      <c r="C67" s="623">
        <v>1.1000000000000001E-2</v>
      </c>
      <c r="D67" s="638">
        <v>1.0524520255863539E-2</v>
      </c>
      <c r="E67" s="625">
        <v>6.3737449563667073E-2</v>
      </c>
      <c r="F67" s="623">
        <v>6.575313916532069E-2</v>
      </c>
      <c r="G67" s="626">
        <v>6.6544769503546097E-2</v>
      </c>
      <c r="I67" s="374">
        <v>25</v>
      </c>
      <c r="J67" s="622">
        <v>1.3535731643004124E-2</v>
      </c>
      <c r="K67" s="623">
        <v>1.0869565217391304E-2</v>
      </c>
      <c r="L67" s="624">
        <v>1.0329183868891575E-2</v>
      </c>
      <c r="M67" s="625">
        <v>5.649421432165018E-2</v>
      </c>
      <c r="N67" s="623">
        <v>5.9197239986536518E-2</v>
      </c>
      <c r="O67" s="626">
        <v>5.9495030889067956E-2</v>
      </c>
      <c r="P67" s="247"/>
      <c r="R67" s="8">
        <v>20</v>
      </c>
      <c r="S67" s="392">
        <v>837</v>
      </c>
      <c r="T67" s="403">
        <v>4.6376329787234045</v>
      </c>
      <c r="U67" s="403">
        <f t="shared" si="1"/>
        <v>4.6376329787234043E-2</v>
      </c>
      <c r="V67" s="392">
        <v>7.6543620441192779</v>
      </c>
    </row>
    <row r="68" spans="1:22" x14ac:dyDescent="0.2">
      <c r="A68" s="374">
        <v>26</v>
      </c>
      <c r="B68" s="622">
        <v>9.1662334631175801E-3</v>
      </c>
      <c r="C68" s="623">
        <v>6.0000000000000001E-3</v>
      </c>
      <c r="D68" s="638">
        <v>5.6631130063965881E-3</v>
      </c>
      <c r="E68" s="625">
        <v>6.2869475462137558E-2</v>
      </c>
      <c r="F68" s="623">
        <v>6.4242171625071634E-2</v>
      </c>
      <c r="G68" s="626">
        <v>6.499335106382978E-2</v>
      </c>
      <c r="I68" s="374">
        <v>26</v>
      </c>
      <c r="J68" s="622">
        <v>7.9311735448312944E-3</v>
      </c>
      <c r="K68" s="623">
        <v>5.1345183761710303E-3</v>
      </c>
      <c r="L68" s="624">
        <v>4.9291242170698395E-3</v>
      </c>
      <c r="M68" s="625">
        <v>5.6703840348817709E-2</v>
      </c>
      <c r="N68" s="623">
        <v>5.8734432850891957E-2</v>
      </c>
      <c r="O68" s="626">
        <v>5.9495030889067956E-2</v>
      </c>
      <c r="P68" s="247"/>
      <c r="R68" s="8">
        <v>21</v>
      </c>
      <c r="S68" s="392">
        <v>916</v>
      </c>
      <c r="T68" s="403">
        <v>5.0753546099290778</v>
      </c>
      <c r="U68" s="403">
        <f t="shared" si="1"/>
        <v>5.0753546099290781E-2</v>
      </c>
      <c r="V68" s="392">
        <v>12.731404500609688</v>
      </c>
    </row>
    <row r="69" spans="1:22" x14ac:dyDescent="0.2">
      <c r="A69" s="374">
        <v>27</v>
      </c>
      <c r="B69" s="622">
        <v>6.9595476294040896E-3</v>
      </c>
      <c r="C69" s="623">
        <v>5.0000000000000001E-3</v>
      </c>
      <c r="D69" s="638">
        <v>4.366737739872068E-3</v>
      </c>
      <c r="E69" s="625">
        <v>5.487003847236558E-2</v>
      </c>
      <c r="F69" s="623">
        <v>6.0021882978169128E-2</v>
      </c>
      <c r="G69" s="626">
        <v>6.0782358156028372E-2</v>
      </c>
      <c r="I69" s="374">
        <v>27</v>
      </c>
      <c r="J69" s="622">
        <v>6.9281437744940898E-3</v>
      </c>
      <c r="K69" s="623">
        <v>4.7591880855152539E-3</v>
      </c>
      <c r="L69" s="624">
        <v>4.4110952388427549E-3</v>
      </c>
      <c r="M69" s="625">
        <v>5.3727150763038738E-2</v>
      </c>
      <c r="N69" s="623">
        <v>5.7892965331538197E-2</v>
      </c>
      <c r="O69" s="626">
        <v>5.9002596472378911E-2</v>
      </c>
      <c r="P69" s="247"/>
      <c r="R69" s="8">
        <v>22</v>
      </c>
      <c r="S69" s="392">
        <v>1123</v>
      </c>
      <c r="T69" s="403">
        <v>6.2222960992907801</v>
      </c>
      <c r="U69" s="403">
        <f t="shared" si="1"/>
        <v>6.2222960992907798E-2</v>
      </c>
      <c r="V69" s="392">
        <v>18.955769870302628</v>
      </c>
    </row>
    <row r="70" spans="1:22" x14ac:dyDescent="0.2">
      <c r="A70" s="374">
        <v>28</v>
      </c>
      <c r="B70" s="622">
        <v>5.4848873847590154E-3</v>
      </c>
      <c r="C70" s="623">
        <v>3.0000000000000001E-3</v>
      </c>
      <c r="D70" s="638">
        <v>3.0191897654584222E-3</v>
      </c>
      <c r="E70" s="625">
        <v>5.0624003002721213E-2</v>
      </c>
      <c r="F70" s="623">
        <v>5.304017089563904E-2</v>
      </c>
      <c r="G70" s="626">
        <v>5.4355053191489359E-2</v>
      </c>
      <c r="I70" s="374">
        <v>28</v>
      </c>
      <c r="J70" s="622">
        <v>5.2012780874186983E-3</v>
      </c>
      <c r="K70" s="623">
        <v>3.3779726159019934E-3</v>
      </c>
      <c r="L70" s="624">
        <v>3.2023609563128896E-3</v>
      </c>
      <c r="M70" s="625">
        <v>4.9765218849572364E-2</v>
      </c>
      <c r="N70" s="623">
        <v>5.1497812184449682E-2</v>
      </c>
      <c r="O70" s="626">
        <v>5.1839914047810902E-2</v>
      </c>
      <c r="P70" s="247"/>
      <c r="R70" s="8">
        <v>23</v>
      </c>
      <c r="S70" s="392">
        <v>1244</v>
      </c>
      <c r="T70" s="403">
        <v>6.8927304964539005</v>
      </c>
      <c r="U70" s="403">
        <f t="shared" si="1"/>
        <v>6.8927304964538999E-2</v>
      </c>
      <c r="V70" s="392">
        <v>25.850792595055982</v>
      </c>
    </row>
    <row r="71" spans="1:22" x14ac:dyDescent="0.2">
      <c r="A71" s="374">
        <v>29</v>
      </c>
      <c r="B71" s="622">
        <v>4.3497172683775558E-3</v>
      </c>
      <c r="C71" s="623">
        <v>2E-3</v>
      </c>
      <c r="D71" s="638">
        <v>2.2174840085287849E-3</v>
      </c>
      <c r="E71" s="625">
        <v>4.555691095054893E-2</v>
      </c>
      <c r="F71" s="623">
        <v>4.8038347314124943E-2</v>
      </c>
      <c r="G71" s="626">
        <v>4.8758865248226951E-2</v>
      </c>
      <c r="I71" s="374">
        <v>29</v>
      </c>
      <c r="J71" s="622">
        <v>4.3430155004291317E-3</v>
      </c>
      <c r="K71" s="623">
        <v>2.717391304347826E-3</v>
      </c>
      <c r="L71" s="624">
        <v>2.6686341302607415E-3</v>
      </c>
      <c r="M71" s="625">
        <v>4.5425960087204426E-2</v>
      </c>
      <c r="N71" s="623">
        <v>4.6491080444294848E-2</v>
      </c>
      <c r="O71" s="626">
        <v>4.7318470767302355E-2</v>
      </c>
      <c r="P71" s="247"/>
      <c r="R71" s="8">
        <v>24</v>
      </c>
      <c r="S71" s="392">
        <v>1164</v>
      </c>
      <c r="T71" s="403">
        <v>6.4494680851063828</v>
      </c>
      <c r="U71" s="403">
        <f t="shared" si="1"/>
        <v>6.4494680851063829E-2</v>
      </c>
      <c r="V71" s="392">
        <v>32.302405498281786</v>
      </c>
    </row>
    <row r="72" spans="1:22" x14ac:dyDescent="0.2">
      <c r="A72" s="377" t="s">
        <v>100</v>
      </c>
      <c r="B72" s="627">
        <v>2.5000000000000001E-2</v>
      </c>
      <c r="C72" s="628">
        <v>1.2E-2</v>
      </c>
      <c r="D72" s="639">
        <v>1.4E-2</v>
      </c>
      <c r="E72" s="630">
        <v>0.35699999999999998</v>
      </c>
      <c r="F72" s="628">
        <v>0.375</v>
      </c>
      <c r="G72" s="631">
        <v>0.38100000000000001</v>
      </c>
      <c r="I72" s="377" t="s">
        <v>100</v>
      </c>
      <c r="J72" s="627">
        <v>2.7E-2</v>
      </c>
      <c r="K72" s="628">
        <v>1.7999999999999999E-2</v>
      </c>
      <c r="L72" s="629">
        <v>1.7000000000000001E-2</v>
      </c>
      <c r="M72" s="630">
        <v>0.36899999999999999</v>
      </c>
      <c r="N72" s="628">
        <v>0.38900000000000001</v>
      </c>
      <c r="O72" s="631">
        <v>0.39700000000000002</v>
      </c>
      <c r="P72" s="247"/>
      <c r="R72" s="8">
        <v>25</v>
      </c>
      <c r="S72" s="392">
        <v>1201</v>
      </c>
      <c r="T72" s="403">
        <v>6.65447695035461</v>
      </c>
      <c r="U72" s="403">
        <f t="shared" si="1"/>
        <v>6.6544769503546097E-2</v>
      </c>
      <c r="V72" s="392">
        <v>38.959095443964081</v>
      </c>
    </row>
    <row r="73" spans="1:22" ht="13.5" thickBot="1" x14ac:dyDescent="0.25">
      <c r="A73" s="378" t="s">
        <v>34</v>
      </c>
      <c r="B73" s="632">
        <v>20.62</v>
      </c>
      <c r="C73" s="633">
        <v>20.27</v>
      </c>
      <c r="D73" s="634">
        <v>20.21</v>
      </c>
      <c r="E73" s="635">
        <v>28.28</v>
      </c>
      <c r="F73" s="633">
        <v>28.68</v>
      </c>
      <c r="G73" s="636">
        <v>28.82</v>
      </c>
      <c r="I73" s="378" t="s">
        <v>34</v>
      </c>
      <c r="J73" s="632">
        <v>20.66</v>
      </c>
      <c r="K73" s="633">
        <v>20.329999999999998</v>
      </c>
      <c r="L73" s="634">
        <v>20.29</v>
      </c>
      <c r="M73" s="635">
        <v>28.44</v>
      </c>
      <c r="N73" s="633">
        <v>28.87</v>
      </c>
      <c r="O73" s="636">
        <v>29.1</v>
      </c>
      <c r="P73" s="247"/>
      <c r="R73" s="8">
        <v>26</v>
      </c>
      <c r="S73" s="392">
        <v>1173</v>
      </c>
      <c r="T73" s="403">
        <v>6.4993351063829783</v>
      </c>
      <c r="U73" s="403">
        <f t="shared" si="1"/>
        <v>6.499335106382978E-2</v>
      </c>
      <c r="V73" s="392">
        <v>45.460591952111734</v>
      </c>
    </row>
    <row r="74" spans="1:22" ht="13.5" thickTop="1" x14ac:dyDescent="0.2">
      <c r="J74" s="247"/>
      <c r="K74" s="247"/>
      <c r="L74" s="247"/>
      <c r="M74" s="384"/>
      <c r="N74" s="384"/>
      <c r="O74" s="247"/>
      <c r="P74" s="247"/>
      <c r="R74" s="8">
        <v>27</v>
      </c>
      <c r="S74" s="392">
        <v>1097</v>
      </c>
      <c r="T74" s="403">
        <v>6.0782358156028371</v>
      </c>
      <c r="U74" s="403">
        <f t="shared" si="1"/>
        <v>6.0782358156028372E-2</v>
      </c>
      <c r="V74" s="392">
        <v>51.540849129808223</v>
      </c>
    </row>
    <row r="75" spans="1:22" ht="13.5" thickBot="1" x14ac:dyDescent="0.25">
      <c r="A75" s="718" t="s">
        <v>12</v>
      </c>
      <c r="B75" s="718"/>
      <c r="C75" s="718"/>
      <c r="D75" s="718"/>
      <c r="E75" s="718"/>
      <c r="F75" s="718"/>
      <c r="G75" s="718"/>
      <c r="I75" s="718" t="s">
        <v>13</v>
      </c>
      <c r="J75" s="718"/>
      <c r="K75" s="718"/>
      <c r="L75" s="718"/>
      <c r="M75" s="718"/>
      <c r="N75" s="718"/>
      <c r="O75" s="718"/>
      <c r="P75" s="247"/>
      <c r="R75" s="8">
        <v>28</v>
      </c>
      <c r="S75" s="392">
        <v>981</v>
      </c>
      <c r="T75" s="403">
        <v>5.4355053191489358</v>
      </c>
      <c r="U75" s="403">
        <f t="shared" si="1"/>
        <v>5.4355053191489359E-2</v>
      </c>
      <c r="V75" s="392">
        <v>56.978162066289769</v>
      </c>
    </row>
    <row r="76" spans="1:22" ht="39" thickTop="1" x14ac:dyDescent="0.2">
      <c r="A76" s="360" t="s">
        <v>113</v>
      </c>
      <c r="B76" s="361" t="s">
        <v>94</v>
      </c>
      <c r="C76" s="362" t="s">
        <v>95</v>
      </c>
      <c r="D76" s="363" t="s">
        <v>96</v>
      </c>
      <c r="E76" s="364" t="s">
        <v>94</v>
      </c>
      <c r="F76" s="362" t="s">
        <v>95</v>
      </c>
      <c r="G76" s="365" t="s">
        <v>96</v>
      </c>
      <c r="I76" s="360" t="s">
        <v>114</v>
      </c>
      <c r="J76" s="361" t="s">
        <v>94</v>
      </c>
      <c r="K76" s="362" t="s">
        <v>95</v>
      </c>
      <c r="L76" s="363" t="s">
        <v>96</v>
      </c>
      <c r="M76" s="364" t="s">
        <v>94</v>
      </c>
      <c r="N76" s="362" t="s">
        <v>95</v>
      </c>
      <c r="O76" s="365" t="s">
        <v>96</v>
      </c>
      <c r="P76" s="247"/>
      <c r="Q76" s="8" t="s">
        <v>115</v>
      </c>
      <c r="T76" s="403"/>
      <c r="U76" s="403"/>
    </row>
    <row r="77" spans="1:22" ht="13.5" thickBot="1" x14ac:dyDescent="0.25">
      <c r="A77" s="366"/>
      <c r="B77" s="367" t="s">
        <v>98</v>
      </c>
      <c r="C77" s="368"/>
      <c r="D77" s="369"/>
      <c r="E77" s="370" t="s">
        <v>99</v>
      </c>
      <c r="F77" s="368"/>
      <c r="G77" s="371"/>
      <c r="I77" s="366"/>
      <c r="J77" s="367" t="s">
        <v>98</v>
      </c>
      <c r="K77" s="368"/>
      <c r="L77" s="369"/>
      <c r="M77" s="370" t="s">
        <v>99</v>
      </c>
      <c r="N77" s="368"/>
      <c r="O77" s="371"/>
      <c r="P77" s="247"/>
      <c r="Q77" s="8" t="s">
        <v>54</v>
      </c>
      <c r="R77" s="8" t="s">
        <v>54</v>
      </c>
      <c r="S77" s="392" t="s">
        <v>59</v>
      </c>
      <c r="T77" s="403" t="s">
        <v>60</v>
      </c>
      <c r="U77" s="403" t="s">
        <v>61</v>
      </c>
      <c r="V77" s="392" t="s">
        <v>57</v>
      </c>
    </row>
    <row r="78" spans="1:22" ht="13.5" thickTop="1" x14ac:dyDescent="0.2">
      <c r="A78" s="372">
        <v>18</v>
      </c>
      <c r="B78" s="617">
        <v>5.5919861608400047E-3</v>
      </c>
      <c r="C78" s="618">
        <v>8.0000000000000002E-3</v>
      </c>
      <c r="D78" s="619">
        <v>6.5306355249461724E-3</v>
      </c>
      <c r="E78" s="620">
        <v>5.8972441171394052E-4</v>
      </c>
      <c r="F78" s="618">
        <v>4.1923312586668386E-4</v>
      </c>
      <c r="G78" s="621">
        <v>3.6043829296424453E-4</v>
      </c>
      <c r="I78" s="372">
        <v>18</v>
      </c>
      <c r="J78" s="617">
        <v>5.4916662444906023E-3</v>
      </c>
      <c r="K78" s="618">
        <v>6.081145715183733E-3</v>
      </c>
      <c r="L78" s="619">
        <v>6.1068922703779631E-3</v>
      </c>
      <c r="M78" s="620">
        <v>5.1619793520825917E-4</v>
      </c>
      <c r="N78" s="618">
        <v>5.2075356103538058E-4</v>
      </c>
      <c r="O78" s="621">
        <v>4.632387002845609E-4</v>
      </c>
      <c r="P78" s="247"/>
      <c r="Q78" s="8" t="s">
        <v>62</v>
      </c>
      <c r="R78" s="8">
        <v>18</v>
      </c>
      <c r="S78" s="392">
        <v>41</v>
      </c>
      <c r="T78" s="403">
        <v>5.8972441171394052E-2</v>
      </c>
      <c r="U78" s="403">
        <v>5.8972441171394052E-2</v>
      </c>
      <c r="V78" s="403">
        <f>T78/100</f>
        <v>5.8972441171394052E-4</v>
      </c>
    </row>
    <row r="79" spans="1:22" x14ac:dyDescent="0.2">
      <c r="A79" s="374">
        <v>19</v>
      </c>
      <c r="B79" s="622">
        <v>0.47214064448646254</v>
      </c>
      <c r="C79" s="623">
        <v>0.59599999999999997</v>
      </c>
      <c r="D79" s="624">
        <v>0.54505140380145722</v>
      </c>
      <c r="E79" s="625">
        <v>5.3449168632414709E-2</v>
      </c>
      <c r="F79" s="623">
        <v>4.5406172401560835E-2</v>
      </c>
      <c r="G79" s="626">
        <v>3.7629757785467129E-2</v>
      </c>
      <c r="I79" s="374">
        <v>19</v>
      </c>
      <c r="J79" s="622">
        <v>0.47289123055879223</v>
      </c>
      <c r="K79" s="623">
        <v>0.52107902756330537</v>
      </c>
      <c r="L79" s="624">
        <v>0.53295989374296193</v>
      </c>
      <c r="M79" s="625">
        <v>6.2086151655393378E-2</v>
      </c>
      <c r="N79" s="623">
        <v>4.5581252871802723E-2</v>
      </c>
      <c r="O79" s="626">
        <v>3.6562768843888559E-2</v>
      </c>
      <c r="P79" s="247"/>
      <c r="R79" s="8">
        <v>19</v>
      </c>
      <c r="S79" s="392">
        <v>3716</v>
      </c>
      <c r="T79" s="403">
        <v>5.3449168632414708</v>
      </c>
      <c r="U79" s="403">
        <v>5.3449168632414708</v>
      </c>
      <c r="V79" s="403">
        <f t="shared" ref="V79:V124" si="2">T79/100</f>
        <v>5.3449168632414709E-2</v>
      </c>
    </row>
    <row r="80" spans="1:22" x14ac:dyDescent="0.2">
      <c r="A80" s="374">
        <v>20</v>
      </c>
      <c r="B80" s="622">
        <v>0.22283461399203441</v>
      </c>
      <c r="C80" s="623">
        <v>0.20499999999999999</v>
      </c>
      <c r="D80" s="624">
        <v>0.21379988877956965</v>
      </c>
      <c r="E80" s="625">
        <v>6.469708302169036E-2</v>
      </c>
      <c r="F80" s="623">
        <v>5.6467477184043345E-2</v>
      </c>
      <c r="G80" s="626">
        <v>5.1398500576701263E-2</v>
      </c>
      <c r="I80" s="374">
        <v>20</v>
      </c>
      <c r="J80" s="622">
        <v>0.22361821774152693</v>
      </c>
      <c r="K80" s="623">
        <v>0.21769135110758844</v>
      </c>
      <c r="L80" s="624">
        <v>0.21782692807437992</v>
      </c>
      <c r="M80" s="625">
        <v>6.7443930224279108E-2</v>
      </c>
      <c r="N80" s="623">
        <v>5.9733496706999539E-2</v>
      </c>
      <c r="O80" s="626">
        <v>5.5555555555555552E-2</v>
      </c>
      <c r="P80" s="247"/>
      <c r="R80" s="8">
        <v>20</v>
      </c>
      <c r="S80" s="392">
        <v>4498</v>
      </c>
      <c r="T80" s="403">
        <v>6.4697083021690354</v>
      </c>
      <c r="U80" s="403">
        <v>6.4697083021690354</v>
      </c>
      <c r="V80" s="403">
        <f t="shared" si="2"/>
        <v>6.469708302169036E-2</v>
      </c>
    </row>
    <row r="81" spans="1:22" x14ac:dyDescent="0.2">
      <c r="A81" s="374">
        <v>21</v>
      </c>
      <c r="B81" s="622">
        <v>9.7024982902200574E-2</v>
      </c>
      <c r="C81" s="623">
        <v>7.0000000000000007E-2</v>
      </c>
      <c r="D81" s="624">
        <v>8.0463703640330231E-2</v>
      </c>
      <c r="E81" s="625">
        <v>6.2108049019043786E-2</v>
      </c>
      <c r="F81" s="623">
        <v>5.7692927859653652E-2</v>
      </c>
      <c r="G81" s="626">
        <v>5.6408592848904267E-2</v>
      </c>
      <c r="I81" s="374">
        <v>21</v>
      </c>
      <c r="J81" s="622">
        <v>9.7613860884543296E-2</v>
      </c>
      <c r="K81" s="623">
        <v>8.6789565027262663E-2</v>
      </c>
      <c r="L81" s="624">
        <v>8.3879536857910081E-2</v>
      </c>
      <c r="M81" s="625">
        <v>6.2459950160199361E-2</v>
      </c>
      <c r="N81" s="623">
        <v>5.958033389493031E-2</v>
      </c>
      <c r="O81" s="626">
        <v>5.8599695585996953E-2</v>
      </c>
      <c r="P81" s="247"/>
      <c r="R81" s="8">
        <v>21</v>
      </c>
      <c r="S81" s="392">
        <v>4318</v>
      </c>
      <c r="T81" s="403">
        <v>6.2108049019043783</v>
      </c>
      <c r="U81" s="403">
        <v>6.2108049019043783</v>
      </c>
      <c r="V81" s="403">
        <f t="shared" si="2"/>
        <v>6.2108049019043786E-2</v>
      </c>
    </row>
    <row r="82" spans="1:22" x14ac:dyDescent="0.2">
      <c r="A82" s="374">
        <v>22</v>
      </c>
      <c r="B82" s="622">
        <v>6.7224524278875167E-2</v>
      </c>
      <c r="C82" s="623">
        <v>4.5999999999999999E-2</v>
      </c>
      <c r="D82" s="624">
        <v>5.6422979851991274E-2</v>
      </c>
      <c r="E82" s="625">
        <v>6.6739543179333755E-2</v>
      </c>
      <c r="F82" s="623">
        <v>6.6013092973007836E-2</v>
      </c>
      <c r="G82" s="626">
        <v>6.5131199538638981E-2</v>
      </c>
      <c r="I82" s="374">
        <v>22</v>
      </c>
      <c r="J82" s="622">
        <v>6.9294290490906324E-2</v>
      </c>
      <c r="K82" s="623">
        <v>6.3284911925878345E-2</v>
      </c>
      <c r="L82" s="624">
        <v>5.9986140386336734E-2</v>
      </c>
      <c r="M82" s="625">
        <v>6.7568529725881094E-2</v>
      </c>
      <c r="N82" s="623">
        <v>6.625823250114872E-2</v>
      </c>
      <c r="O82" s="626">
        <v>6.5482099133081867E-2</v>
      </c>
      <c r="P82" s="247"/>
      <c r="R82" s="8">
        <v>22</v>
      </c>
      <c r="S82" s="392">
        <v>4640</v>
      </c>
      <c r="T82" s="403">
        <v>6.6739543179333758</v>
      </c>
      <c r="U82" s="403">
        <v>6.6739543179333758</v>
      </c>
      <c r="V82" s="403">
        <f t="shared" si="2"/>
        <v>6.6739543179333755E-2</v>
      </c>
    </row>
    <row r="83" spans="1:22" x14ac:dyDescent="0.2">
      <c r="A83" s="374">
        <v>23</v>
      </c>
      <c r="B83" s="622">
        <v>4.2563463008408096E-2</v>
      </c>
      <c r="C83" s="623">
        <v>2.7999999999999997E-2</v>
      </c>
      <c r="D83" s="624">
        <v>3.4350002138854425E-2</v>
      </c>
      <c r="E83" s="625">
        <v>6.5027904033139641E-2</v>
      </c>
      <c r="F83" s="623">
        <v>6.3594440323776966E-2</v>
      </c>
      <c r="G83" s="626">
        <v>6.2680219146482127E-2</v>
      </c>
      <c r="I83" s="374">
        <v>23</v>
      </c>
      <c r="J83" s="622">
        <v>4.2879578499417398E-2</v>
      </c>
      <c r="K83" s="623">
        <v>3.8249723273706217E-2</v>
      </c>
      <c r="L83" s="624">
        <v>3.6150492305026996E-2</v>
      </c>
      <c r="M83" s="625">
        <v>6.4311142755428985E-2</v>
      </c>
      <c r="N83" s="623">
        <v>6.2643590136314903E-2</v>
      </c>
      <c r="O83" s="626">
        <v>6.204089735953941E-2</v>
      </c>
      <c r="P83" s="247"/>
      <c r="R83" s="8">
        <v>23</v>
      </c>
      <c r="S83" s="392">
        <v>4521</v>
      </c>
      <c r="T83" s="403">
        <v>6.5027904033139636</v>
      </c>
      <c r="U83" s="403">
        <v>6.5027904033139636</v>
      </c>
      <c r="V83" s="403">
        <f t="shared" si="2"/>
        <v>6.5027904033139641E-2</v>
      </c>
    </row>
    <row r="84" spans="1:22" x14ac:dyDescent="0.2">
      <c r="A84" s="374">
        <v>24</v>
      </c>
      <c r="B84" s="622">
        <v>2.5536066299231604E-2</v>
      </c>
      <c r="C84" s="623">
        <v>1.4999999999999999E-2</v>
      </c>
      <c r="D84" s="624">
        <v>1.9477834338594915E-2</v>
      </c>
      <c r="E84" s="625">
        <v>6.0382026350612739E-2</v>
      </c>
      <c r="F84" s="623">
        <v>6.0821051952658911E-2</v>
      </c>
      <c r="G84" s="626">
        <v>6.0697808535178775E-2</v>
      </c>
      <c r="I84" s="374">
        <v>24</v>
      </c>
      <c r="J84" s="622">
        <v>2.7397537869192967E-2</v>
      </c>
      <c r="K84" s="623">
        <v>2.4338248356724108E-2</v>
      </c>
      <c r="L84" s="624">
        <v>2.2825051251696361E-2</v>
      </c>
      <c r="M84" s="625">
        <v>6.0074759700961197E-2</v>
      </c>
      <c r="N84" s="623">
        <v>5.9365905958033392E-2</v>
      </c>
      <c r="O84" s="626">
        <v>5.9592349943749588E-2</v>
      </c>
      <c r="P84" s="247"/>
      <c r="R84" s="8">
        <v>24</v>
      </c>
      <c r="S84" s="392">
        <v>4198</v>
      </c>
      <c r="T84" s="403">
        <v>6.0382026350612739</v>
      </c>
      <c r="U84" s="403">
        <v>6.0382026350612739</v>
      </c>
      <c r="V84" s="403">
        <f t="shared" si="2"/>
        <v>6.0382026350612739E-2</v>
      </c>
    </row>
    <row r="85" spans="1:22" x14ac:dyDescent="0.2">
      <c r="A85" s="374">
        <v>25</v>
      </c>
      <c r="B85" s="622">
        <v>1.4915315605262098E-2</v>
      </c>
      <c r="C85" s="623">
        <v>9.0000000000000011E-3</v>
      </c>
      <c r="D85" s="624">
        <v>1.1692404214969129E-2</v>
      </c>
      <c r="E85" s="625">
        <v>5.8195730970600081E-2</v>
      </c>
      <c r="F85" s="623">
        <v>5.9563352575058855E-2</v>
      </c>
      <c r="G85" s="626">
        <v>5.9652537485582469E-2</v>
      </c>
      <c r="I85" s="374">
        <v>25</v>
      </c>
      <c r="J85" s="622">
        <v>1.380009119002989E-2</v>
      </c>
      <c r="K85" s="623">
        <v>1.1779657542670512E-2</v>
      </c>
      <c r="L85" s="624">
        <v>1.1073253833049404E-2</v>
      </c>
      <c r="M85" s="625">
        <v>5.6283374866500535E-2</v>
      </c>
      <c r="N85" s="623">
        <v>5.8538826772859549E-2</v>
      </c>
      <c r="O85" s="626">
        <v>5.8765137978955731E-2</v>
      </c>
      <c r="P85" s="247"/>
      <c r="R85" s="8">
        <v>25</v>
      </c>
      <c r="S85" s="392">
        <v>4046</v>
      </c>
      <c r="T85" s="403">
        <v>5.8195730970600081</v>
      </c>
      <c r="U85" s="403">
        <v>5.8195730970600081</v>
      </c>
      <c r="V85" s="403">
        <f t="shared" si="2"/>
        <v>5.8195730970600081E-2</v>
      </c>
    </row>
    <row r="86" spans="1:22" x14ac:dyDescent="0.2">
      <c r="A86" s="374">
        <v>26</v>
      </c>
      <c r="B86" s="622">
        <v>7.6437220903568413E-3</v>
      </c>
      <c r="C86" s="623">
        <v>4.0000000000000001E-3</v>
      </c>
      <c r="D86" s="624">
        <v>4.7482568336399021E-3</v>
      </c>
      <c r="E86" s="625">
        <v>5.0342327829238823E-2</v>
      </c>
      <c r="F86" s="623">
        <v>5.063046212389951E-2</v>
      </c>
      <c r="G86" s="626">
        <v>5.1506632064590538E-2</v>
      </c>
      <c r="I86" s="374">
        <v>26</v>
      </c>
      <c r="J86" s="622">
        <v>7.6194336085921273E-3</v>
      </c>
      <c r="K86" s="623">
        <v>5.2065539718764093E-3</v>
      </c>
      <c r="L86" s="624">
        <v>4.6487454162215227E-3</v>
      </c>
      <c r="M86" s="625">
        <v>4.818440726237095E-2</v>
      </c>
      <c r="N86" s="623">
        <v>4.8767039362842698E-2</v>
      </c>
      <c r="O86" s="626">
        <v>4.9765071801998545E-2</v>
      </c>
      <c r="P86" s="247"/>
      <c r="R86" s="8">
        <v>26</v>
      </c>
      <c r="S86" s="392">
        <v>3500</v>
      </c>
      <c r="T86" s="403">
        <v>5.0342327829238824</v>
      </c>
      <c r="U86" s="403">
        <v>5.0342327829238824</v>
      </c>
      <c r="V86" s="403">
        <f t="shared" si="2"/>
        <v>5.0342327829238823E-2</v>
      </c>
    </row>
    <row r="87" spans="1:22" x14ac:dyDescent="0.2">
      <c r="A87" s="374">
        <v>27</v>
      </c>
      <c r="B87" s="622">
        <v>6.2155529629480634E-3</v>
      </c>
      <c r="C87" s="623">
        <v>3.0000000000000001E-3</v>
      </c>
      <c r="D87" s="624">
        <v>3.6930886483865911E-3</v>
      </c>
      <c r="E87" s="625">
        <v>4.9723836373051035E-2</v>
      </c>
      <c r="F87" s="623">
        <v>5.1081943951755943E-2</v>
      </c>
      <c r="G87" s="626">
        <v>5.1362456747404847E-2</v>
      </c>
      <c r="I87" s="374">
        <v>27</v>
      </c>
      <c r="J87" s="622">
        <v>5.7449718830741171E-3</v>
      </c>
      <c r="K87" s="623">
        <v>4.2499692526340241E-3</v>
      </c>
      <c r="L87" s="624">
        <v>4.1145728062830251E-3</v>
      </c>
      <c r="M87" s="625">
        <v>4.4072623709505161E-2</v>
      </c>
      <c r="N87" s="623">
        <v>4.4264052688007351E-2</v>
      </c>
      <c r="O87" s="626">
        <v>4.5066507841969423E-2</v>
      </c>
      <c r="P87" s="247"/>
      <c r="R87" s="8">
        <v>27</v>
      </c>
      <c r="S87" s="392">
        <v>3457</v>
      </c>
      <c r="T87" s="403">
        <v>4.9723836373051036</v>
      </c>
      <c r="U87" s="403">
        <v>4.9723836373051036</v>
      </c>
      <c r="V87" s="403">
        <f t="shared" si="2"/>
        <v>4.9723836373051035E-2</v>
      </c>
    </row>
    <row r="88" spans="1:22" x14ac:dyDescent="0.2">
      <c r="A88" s="374">
        <v>28</v>
      </c>
      <c r="B88" s="622">
        <v>5.7428490968338894E-3</v>
      </c>
      <c r="C88" s="623">
        <v>2E-3</v>
      </c>
      <c r="D88" s="624">
        <v>3.1797635852903851E-3</v>
      </c>
      <c r="E88" s="625">
        <v>4.8227950060410786E-2</v>
      </c>
      <c r="F88" s="623">
        <v>4.9469508852268695E-2</v>
      </c>
      <c r="G88" s="626">
        <v>5.0317185697808534E-2</v>
      </c>
      <c r="I88" s="374">
        <v>28</v>
      </c>
      <c r="J88" s="622">
        <v>4.5088403667865647E-3</v>
      </c>
      <c r="K88" s="623">
        <v>2.80142667778127E-3</v>
      </c>
      <c r="L88" s="624">
        <v>2.5120549764675311E-3</v>
      </c>
      <c r="M88" s="625">
        <v>4.4019223923104304E-2</v>
      </c>
      <c r="N88" s="623">
        <v>4.5213662122836576E-2</v>
      </c>
      <c r="O88" s="626">
        <v>4.6092250678313809E-2</v>
      </c>
      <c r="P88" s="247"/>
      <c r="R88" s="8">
        <v>28</v>
      </c>
      <c r="S88" s="392">
        <v>3353</v>
      </c>
      <c r="T88" s="403">
        <v>4.8227950060410789</v>
      </c>
      <c r="U88" s="403">
        <v>4.8227950060410789</v>
      </c>
      <c r="V88" s="403">
        <f t="shared" si="2"/>
        <v>4.8227950060410786E-2</v>
      </c>
    </row>
    <row r="89" spans="1:22" x14ac:dyDescent="0.2">
      <c r="A89" s="374">
        <v>29</v>
      </c>
      <c r="B89" s="622">
        <v>4.2241622078287803E-3</v>
      </c>
      <c r="C89" s="623">
        <v>2E-3</v>
      </c>
      <c r="D89" s="624">
        <v>2.4240350201765268E-3</v>
      </c>
      <c r="E89" s="625">
        <v>4.3006731488406877E-2</v>
      </c>
      <c r="F89" s="623">
        <v>4.3310006772227412E-2</v>
      </c>
      <c r="G89" s="626">
        <v>4.4405997693194921E-2</v>
      </c>
      <c r="I89" s="374">
        <v>29</v>
      </c>
      <c r="J89" s="622">
        <v>4.0630224428795788E-3</v>
      </c>
      <c r="K89" s="623">
        <v>2.3914617981059621E-3</v>
      </c>
      <c r="L89" s="624">
        <v>2.3099356105448559E-3</v>
      </c>
      <c r="M89" s="625">
        <v>4.2897828408686368E-2</v>
      </c>
      <c r="N89" s="623">
        <v>4.4631643436973505E-2</v>
      </c>
      <c r="O89" s="626">
        <v>4.5992985242538545E-2</v>
      </c>
      <c r="P89" s="247"/>
      <c r="R89" s="8">
        <v>29</v>
      </c>
      <c r="S89" s="392">
        <v>2990</v>
      </c>
      <c r="T89" s="403">
        <v>4.300673148840688</v>
      </c>
      <c r="U89" s="403">
        <v>4.300673148840688</v>
      </c>
      <c r="V89" s="403">
        <f t="shared" si="2"/>
        <v>4.3006731488406877E-2</v>
      </c>
    </row>
    <row r="90" spans="1:22" x14ac:dyDescent="0.2">
      <c r="A90" s="377" t="s">
        <v>100</v>
      </c>
      <c r="B90" s="627">
        <v>2.8000000000000001E-2</v>
      </c>
      <c r="C90" s="628">
        <v>1.2E-2</v>
      </c>
      <c r="D90" s="629">
        <v>1.7999999999999999E-2</v>
      </c>
      <c r="E90" s="630">
        <v>0.378</v>
      </c>
      <c r="F90" s="628">
        <v>0.39600000000000002</v>
      </c>
      <c r="G90" s="631">
        <v>0.40799999999999997</v>
      </c>
      <c r="I90" s="377" t="s">
        <v>100</v>
      </c>
      <c r="J90" s="627">
        <v>2.4975935964334565E-2</v>
      </c>
      <c r="K90" s="628">
        <v>1.6002295803326183E-2</v>
      </c>
      <c r="L90" s="629">
        <v>1.5548754078480062E-2</v>
      </c>
      <c r="M90" s="630">
        <v>0.3800818796724813</v>
      </c>
      <c r="N90" s="628">
        <v>0.40490120998621537</v>
      </c>
      <c r="O90" s="631">
        <v>0.41602144133412744</v>
      </c>
      <c r="P90" s="247"/>
      <c r="R90" s="8">
        <v>30</v>
      </c>
      <c r="S90" s="392">
        <v>2677</v>
      </c>
      <c r="T90" s="403">
        <v>3.8504689028249239</v>
      </c>
      <c r="U90" s="403">
        <v>3.8504689028249239</v>
      </c>
      <c r="V90" s="403">
        <f t="shared" si="2"/>
        <v>3.8504689028249238E-2</v>
      </c>
    </row>
    <row r="91" spans="1:22" ht="13.5" thickBot="1" x14ac:dyDescent="0.25">
      <c r="A91" s="378" t="s">
        <v>34</v>
      </c>
      <c r="B91" s="632">
        <v>20.69</v>
      </c>
      <c r="C91" s="633">
        <v>20.04</v>
      </c>
      <c r="D91" s="634">
        <v>20.28</v>
      </c>
      <c r="E91" s="635">
        <v>28.54</v>
      </c>
      <c r="F91" s="633">
        <v>28.9</v>
      </c>
      <c r="G91" s="636">
        <v>29.16</v>
      </c>
      <c r="I91" s="378" t="s">
        <v>34</v>
      </c>
      <c r="J91" s="632">
        <v>20.616211560869345</v>
      </c>
      <c r="K91" s="633">
        <v>20.314005766839308</v>
      </c>
      <c r="L91" s="634">
        <v>20.262047757918747</v>
      </c>
      <c r="M91" s="635">
        <v>28.466518333926665</v>
      </c>
      <c r="N91" s="633">
        <v>28.905958033389492</v>
      </c>
      <c r="O91" s="636">
        <v>29.138045132684798</v>
      </c>
      <c r="P91" s="247"/>
      <c r="R91" s="8">
        <v>31</v>
      </c>
      <c r="S91" s="392">
        <v>2421</v>
      </c>
      <c r="T91" s="403">
        <v>3.482250733559634</v>
      </c>
      <c r="U91" s="403">
        <v>3.482250733559634</v>
      </c>
      <c r="V91" s="403">
        <f t="shared" si="2"/>
        <v>3.4822507335596338E-2</v>
      </c>
    </row>
    <row r="92" spans="1:22" ht="13.5" thickTop="1" x14ac:dyDescent="0.2">
      <c r="J92" s="247"/>
      <c r="K92" s="247"/>
      <c r="L92" s="247"/>
      <c r="M92" s="384"/>
      <c r="N92" s="384"/>
      <c r="O92" s="247"/>
      <c r="P92" s="247"/>
      <c r="R92" s="8">
        <v>32</v>
      </c>
      <c r="S92" s="392">
        <v>2530</v>
      </c>
      <c r="T92" s="403">
        <v>3.6390311259421209</v>
      </c>
      <c r="U92" s="403">
        <v>3.6390311259421209</v>
      </c>
      <c r="V92" s="403">
        <f t="shared" si="2"/>
        <v>3.6390311259421208E-2</v>
      </c>
    </row>
    <row r="93" spans="1:22" ht="13.5" thickBot="1" x14ac:dyDescent="0.25">
      <c r="A93" s="718" t="s">
        <v>14</v>
      </c>
      <c r="B93" s="718"/>
      <c r="C93" s="718"/>
      <c r="D93" s="718"/>
      <c r="E93" s="718"/>
      <c r="F93" s="718"/>
      <c r="G93" s="718"/>
      <c r="I93" s="717" t="s">
        <v>15</v>
      </c>
      <c r="J93" s="718"/>
      <c r="K93" s="718"/>
      <c r="L93" s="718"/>
      <c r="M93" s="718"/>
      <c r="N93" s="718"/>
      <c r="O93" s="718"/>
      <c r="P93" s="247"/>
      <c r="R93" s="8">
        <v>33</v>
      </c>
      <c r="S93" s="392">
        <v>2444</v>
      </c>
      <c r="T93" s="403">
        <v>3.5153328347045623</v>
      </c>
      <c r="U93" s="403">
        <v>3.5153328347045623</v>
      </c>
      <c r="V93" s="403">
        <f t="shared" si="2"/>
        <v>3.5153328347045626E-2</v>
      </c>
    </row>
    <row r="94" spans="1:22" ht="39" thickTop="1" x14ac:dyDescent="0.2">
      <c r="A94" s="360" t="s">
        <v>116</v>
      </c>
      <c r="B94" s="361" t="s">
        <v>94</v>
      </c>
      <c r="C94" s="362" t="s">
        <v>95</v>
      </c>
      <c r="D94" s="363" t="s">
        <v>96</v>
      </c>
      <c r="E94" s="364" t="s">
        <v>94</v>
      </c>
      <c r="F94" s="362" t="s">
        <v>95</v>
      </c>
      <c r="G94" s="365" t="s">
        <v>96</v>
      </c>
      <c r="I94" s="360" t="s">
        <v>117</v>
      </c>
      <c r="J94" s="361" t="s">
        <v>94</v>
      </c>
      <c r="K94" s="362" t="s">
        <v>95</v>
      </c>
      <c r="L94" s="363" t="s">
        <v>96</v>
      </c>
      <c r="M94" s="364" t="s">
        <v>94</v>
      </c>
      <c r="N94" s="362" t="s">
        <v>95</v>
      </c>
      <c r="O94" s="365" t="s">
        <v>96</v>
      </c>
      <c r="P94" s="247"/>
      <c r="R94" s="8">
        <v>34</v>
      </c>
      <c r="S94" s="392">
        <v>2045</v>
      </c>
      <c r="T94" s="403">
        <v>2.9414302974512401</v>
      </c>
      <c r="U94" s="403">
        <v>2.9414302974512401</v>
      </c>
      <c r="V94" s="403">
        <f t="shared" si="2"/>
        <v>2.9414302974512401E-2</v>
      </c>
    </row>
    <row r="95" spans="1:22" ht="13.5" thickBot="1" x14ac:dyDescent="0.25">
      <c r="A95" s="366"/>
      <c r="B95" s="367" t="s">
        <v>98</v>
      </c>
      <c r="C95" s="368"/>
      <c r="D95" s="369"/>
      <c r="E95" s="370" t="s">
        <v>99</v>
      </c>
      <c r="F95" s="368"/>
      <c r="G95" s="371"/>
      <c r="I95" s="366"/>
      <c r="J95" s="367" t="s">
        <v>98</v>
      </c>
      <c r="K95" s="368"/>
      <c r="L95" s="369"/>
      <c r="M95" s="370" t="s">
        <v>99</v>
      </c>
      <c r="N95" s="368"/>
      <c r="O95" s="371"/>
      <c r="P95" s="247" t="s">
        <v>118</v>
      </c>
      <c r="R95" s="8">
        <v>35</v>
      </c>
      <c r="S95" s="392">
        <v>1758</v>
      </c>
      <c r="T95" s="403">
        <v>2.5286232092514815</v>
      </c>
      <c r="U95" s="403">
        <v>2.5286232092514815</v>
      </c>
      <c r="V95" s="403">
        <f t="shared" si="2"/>
        <v>2.5286232092514814E-2</v>
      </c>
    </row>
    <row r="96" spans="1:22" ht="13.5" thickTop="1" x14ac:dyDescent="0.2">
      <c r="A96" s="372">
        <v>18</v>
      </c>
      <c r="B96" s="617">
        <v>5.6390416612795754E-3</v>
      </c>
      <c r="C96" s="618">
        <v>6.2918126791971967E-3</v>
      </c>
      <c r="D96" s="619">
        <v>6.3229365584553361E-3</v>
      </c>
      <c r="E96" s="620">
        <v>7.1024054725903226E-4</v>
      </c>
      <c r="F96" s="618">
        <v>4.0251416540235937E-4</v>
      </c>
      <c r="G96" s="621">
        <v>2.6699596168607947E-4</v>
      </c>
      <c r="I96" s="372">
        <v>18</v>
      </c>
      <c r="J96" s="617">
        <v>5.137099908062972E-3</v>
      </c>
      <c r="K96" s="618">
        <v>5.5628864912416883E-3</v>
      </c>
      <c r="L96" s="619">
        <v>5.6734867276041169E-3</v>
      </c>
      <c r="M96" s="620">
        <v>9.2790728501903155E-4</v>
      </c>
      <c r="N96" s="618">
        <v>9.2898100394016086E-4</v>
      </c>
      <c r="O96" s="621">
        <v>7.0224719101123594E-4</v>
      </c>
      <c r="P96" s="247"/>
      <c r="R96" s="8">
        <v>36</v>
      </c>
      <c r="S96" s="392">
        <v>1595</v>
      </c>
      <c r="T96" s="403">
        <v>2.2941717967895978</v>
      </c>
      <c r="U96" s="403">
        <v>2.2941717967895978</v>
      </c>
      <c r="V96" s="403">
        <f t="shared" si="2"/>
        <v>2.2941717967895979E-2</v>
      </c>
    </row>
    <row r="97" spans="1:22" x14ac:dyDescent="0.2">
      <c r="A97" s="374">
        <v>19</v>
      </c>
      <c r="B97" s="622">
        <v>0.46197376403544538</v>
      </c>
      <c r="C97" s="623">
        <v>0.50801741531273226</v>
      </c>
      <c r="D97" s="624">
        <v>0.52007921352288</v>
      </c>
      <c r="E97" s="625">
        <v>6.3454385735379329E-2</v>
      </c>
      <c r="F97" s="623">
        <v>4.8889989782332721E-2</v>
      </c>
      <c r="G97" s="626">
        <v>3.9515402329539769E-2</v>
      </c>
      <c r="I97" s="374">
        <v>19</v>
      </c>
      <c r="J97" s="622">
        <v>0.46549518041456966</v>
      </c>
      <c r="K97" s="623">
        <v>0.5092887267458408</v>
      </c>
      <c r="L97" s="624">
        <v>0.5216729933809322</v>
      </c>
      <c r="M97" s="625">
        <v>6.8494707141098718E-2</v>
      </c>
      <c r="N97" s="623">
        <v>5.3688695262196877E-2</v>
      </c>
      <c r="O97" s="626">
        <v>4.3188202247191013E-2</v>
      </c>
      <c r="P97" s="252"/>
      <c r="R97" s="8">
        <v>37</v>
      </c>
      <c r="S97" s="392">
        <v>1336</v>
      </c>
      <c r="T97" s="403">
        <v>1.9216385708532306</v>
      </c>
      <c r="U97" s="403">
        <v>1.9216385708532306</v>
      </c>
      <c r="V97" s="403">
        <f t="shared" si="2"/>
        <v>1.9216385708532305E-2</v>
      </c>
    </row>
    <row r="98" spans="1:22" x14ac:dyDescent="0.2">
      <c r="A98" s="374">
        <v>20</v>
      </c>
      <c r="B98" s="622">
        <v>0.23297098926891366</v>
      </c>
      <c r="C98" s="623">
        <v>0.22739460550069024</v>
      </c>
      <c r="D98" s="624">
        <v>0.22662140179644955</v>
      </c>
      <c r="E98" s="625">
        <v>7.1379174999532738E-2</v>
      </c>
      <c r="F98" s="623">
        <v>6.2389695637365697E-2</v>
      </c>
      <c r="G98" s="626">
        <v>5.7404131762507089E-2</v>
      </c>
      <c r="I98" s="374">
        <v>20</v>
      </c>
      <c r="J98" s="622">
        <v>0.22762470736538809</v>
      </c>
      <c r="K98" s="623">
        <v>0.22220497296178426</v>
      </c>
      <c r="L98" s="624">
        <v>0.2224171246111469</v>
      </c>
      <c r="M98" s="625">
        <v>6.8892381691821158E-2</v>
      </c>
      <c r="N98" s="623">
        <v>6.0031393151167636E-2</v>
      </c>
      <c r="O98" s="626">
        <v>5.5547752808988764E-2</v>
      </c>
      <c r="P98" s="252"/>
      <c r="R98" s="8">
        <v>38</v>
      </c>
      <c r="S98" s="392">
        <v>1237</v>
      </c>
      <c r="T98" s="403">
        <v>1.7792417007076693</v>
      </c>
      <c r="U98" s="403">
        <v>1.7792417007076693</v>
      </c>
      <c r="V98" s="403">
        <f t="shared" si="2"/>
        <v>1.7792417007076691E-2</v>
      </c>
    </row>
    <row r="99" spans="1:22" x14ac:dyDescent="0.2">
      <c r="A99" s="374">
        <v>21</v>
      </c>
      <c r="B99" s="622">
        <v>9.7226228008234786E-2</v>
      </c>
      <c r="C99" s="623">
        <v>8.7899543378995429E-2</v>
      </c>
      <c r="D99" s="624">
        <v>8.5083810736261409E-2</v>
      </c>
      <c r="E99" s="625">
        <v>6.4276769526942418E-2</v>
      </c>
      <c r="F99" s="623">
        <v>6.099637737251138E-2</v>
      </c>
      <c r="G99" s="626">
        <v>5.9907218903314088E-2</v>
      </c>
      <c r="I99" s="374">
        <v>21</v>
      </c>
      <c r="J99" s="622">
        <v>0.10252400314671065</v>
      </c>
      <c r="K99" s="623">
        <v>9.2240420191984265E-2</v>
      </c>
      <c r="L99" s="624">
        <v>8.9227227254662811E-2</v>
      </c>
      <c r="M99" s="625">
        <v>6.4972446834699951E-2</v>
      </c>
      <c r="N99" s="623">
        <v>6.0223596117500083E-2</v>
      </c>
      <c r="O99" s="626">
        <v>5.8707865168539326E-2</v>
      </c>
      <c r="P99" s="252"/>
      <c r="R99" s="8">
        <v>39</v>
      </c>
      <c r="S99" s="392">
        <v>1060</v>
      </c>
      <c r="T99" s="403">
        <v>1.5246533571140901</v>
      </c>
      <c r="U99" s="403">
        <v>1.5246533571140901</v>
      </c>
      <c r="V99" s="403">
        <f t="shared" si="2"/>
        <v>1.5246533571140902E-2</v>
      </c>
    </row>
    <row r="100" spans="1:22" x14ac:dyDescent="0.2">
      <c r="A100" s="374">
        <v>22</v>
      </c>
      <c r="B100" s="622">
        <v>6.9548180489114764E-2</v>
      </c>
      <c r="C100" s="623">
        <v>6.2825209727089312E-2</v>
      </c>
      <c r="D100" s="624">
        <v>5.9608175967182972E-2</v>
      </c>
      <c r="E100" s="625">
        <v>6.9042857409864863E-2</v>
      </c>
      <c r="F100" s="623">
        <v>6.7808155556243616E-2</v>
      </c>
      <c r="G100" s="626">
        <v>6.7483229316156593E-2</v>
      </c>
      <c r="I100" s="374">
        <v>22</v>
      </c>
      <c r="J100" s="622">
        <v>7.1246457581013584E-2</v>
      </c>
      <c r="K100" s="623">
        <v>6.6392403425703128E-2</v>
      </c>
      <c r="L100" s="624">
        <v>6.310726178892985E-2</v>
      </c>
      <c r="M100" s="625">
        <v>6.8570454674569653E-2</v>
      </c>
      <c r="N100" s="623">
        <v>6.8648492808405681E-2</v>
      </c>
      <c r="O100" s="626">
        <v>6.839887640449438E-2</v>
      </c>
      <c r="P100" s="252"/>
      <c r="R100" s="8">
        <v>40</v>
      </c>
      <c r="S100" s="392">
        <v>995</v>
      </c>
      <c r="T100" s="403">
        <v>1.431160462574075</v>
      </c>
      <c r="U100" s="403">
        <v>1.431160462574075</v>
      </c>
      <c r="V100" s="403">
        <f t="shared" si="2"/>
        <v>1.4311604625740749E-2</v>
      </c>
    </row>
    <row r="101" spans="1:22" x14ac:dyDescent="0.2">
      <c r="A101" s="374">
        <v>23</v>
      </c>
      <c r="B101" s="622">
        <v>4.4764244298799591E-2</v>
      </c>
      <c r="C101" s="623">
        <v>3.918445364765849E-2</v>
      </c>
      <c r="D101" s="624">
        <v>3.7456680104675011E-2</v>
      </c>
      <c r="E101" s="625">
        <v>6.7547614152477425E-2</v>
      </c>
      <c r="F101" s="623">
        <v>6.8613183887048332E-2</v>
      </c>
      <c r="G101" s="626">
        <v>6.8184093715582553E-2</v>
      </c>
      <c r="I101" s="374">
        <v>23</v>
      </c>
      <c r="J101" s="622">
        <v>4.4916451041163145E-2</v>
      </c>
      <c r="K101" s="623">
        <v>4.0492638878108105E-2</v>
      </c>
      <c r="L101" s="624">
        <v>3.8672897452412605E-2</v>
      </c>
      <c r="M101" s="625">
        <v>6.8797697274982486E-2</v>
      </c>
      <c r="N101" s="623">
        <v>6.8968831085626417E-2</v>
      </c>
      <c r="O101" s="626">
        <v>6.931179775280899E-2</v>
      </c>
      <c r="P101" s="252"/>
      <c r="R101" s="8">
        <v>41</v>
      </c>
      <c r="S101" s="392">
        <v>937</v>
      </c>
      <c r="T101" s="403">
        <v>1.347736033599908</v>
      </c>
      <c r="U101" s="403">
        <v>1.347736033599908</v>
      </c>
      <c r="V101" s="403">
        <f t="shared" si="2"/>
        <v>1.347736033599908E-2</v>
      </c>
    </row>
    <row r="102" spans="1:22" x14ac:dyDescent="0.2">
      <c r="A102" s="374">
        <v>24</v>
      </c>
      <c r="B102" s="622">
        <v>2.8036081910312385E-2</v>
      </c>
      <c r="C102" s="623">
        <v>2.564510990761389E-2</v>
      </c>
      <c r="D102" s="624">
        <v>2.4273286653935921E-2</v>
      </c>
      <c r="E102" s="625">
        <v>6.1622712745079716E-2</v>
      </c>
      <c r="F102" s="623">
        <v>6.1956218843855465E-2</v>
      </c>
      <c r="G102" s="626">
        <v>6.2143310082435003E-2</v>
      </c>
      <c r="I102" s="374">
        <v>24</v>
      </c>
      <c r="J102" s="622">
        <v>2.8055010568019182E-2</v>
      </c>
      <c r="K102" s="623">
        <v>2.513648477321535E-2</v>
      </c>
      <c r="L102" s="624">
        <v>2.3406558769922297E-2</v>
      </c>
      <c r="M102" s="625">
        <v>6.154487094513985E-2</v>
      </c>
      <c r="N102" s="623">
        <v>6.336291123426338E-2</v>
      </c>
      <c r="O102" s="626">
        <v>6.344803370786517E-2</v>
      </c>
      <c r="P102" s="252"/>
      <c r="R102" s="8">
        <v>42</v>
      </c>
      <c r="S102" s="392">
        <v>925</v>
      </c>
      <c r="T102" s="403">
        <v>1.3304758069155975</v>
      </c>
      <c r="U102" s="403">
        <v>1.3304758069155975</v>
      </c>
      <c r="V102" s="403">
        <f t="shared" si="2"/>
        <v>1.3304758069155976E-2</v>
      </c>
    </row>
    <row r="103" spans="1:22" x14ac:dyDescent="0.2">
      <c r="A103" s="374">
        <v>25</v>
      </c>
      <c r="B103" s="622">
        <v>1.5037444430078867E-2</v>
      </c>
      <c r="C103" s="623">
        <v>1.2888924285865987E-2</v>
      </c>
      <c r="D103" s="624">
        <v>1.2235660230567933E-2</v>
      </c>
      <c r="E103" s="625">
        <v>5.4277330243163932E-2</v>
      </c>
      <c r="F103" s="623">
        <v>5.489673963526024E-2</v>
      </c>
      <c r="G103" s="626">
        <v>5.5768781497179856E-2</v>
      </c>
      <c r="I103" s="374">
        <v>25</v>
      </c>
      <c r="J103" s="622">
        <v>1.5108002312642763E-2</v>
      </c>
      <c r="K103" s="623">
        <v>1.3143936453724546E-2</v>
      </c>
      <c r="L103" s="624">
        <v>1.2004769017829001E-2</v>
      </c>
      <c r="M103" s="625">
        <v>5.2739220179142919E-2</v>
      </c>
      <c r="N103" s="623">
        <v>5.3720729089918956E-2</v>
      </c>
      <c r="O103" s="626">
        <v>5.4283707865168541E-2</v>
      </c>
      <c r="P103" s="252"/>
      <c r="R103" s="8">
        <v>43</v>
      </c>
      <c r="S103" s="392">
        <v>911</v>
      </c>
      <c r="T103" s="403">
        <v>1.3103388757839021</v>
      </c>
      <c r="U103" s="403">
        <v>1.3103388757839021</v>
      </c>
      <c r="V103" s="403">
        <f t="shared" si="2"/>
        <v>1.3103388757839021E-2</v>
      </c>
    </row>
    <row r="104" spans="1:22" x14ac:dyDescent="0.2">
      <c r="A104" s="374">
        <v>26</v>
      </c>
      <c r="B104" s="622">
        <v>7.0015614277615891E-3</v>
      </c>
      <c r="C104" s="623">
        <v>4.9511521716045451E-3</v>
      </c>
      <c r="D104" s="624">
        <v>4.6537944691986705E-3</v>
      </c>
      <c r="E104" s="625">
        <v>4.5679681513186174E-2</v>
      </c>
      <c r="F104" s="623">
        <v>4.6103353252624081E-2</v>
      </c>
      <c r="G104" s="626">
        <v>4.689116577111771E-2</v>
      </c>
      <c r="I104" s="374">
        <v>26</v>
      </c>
      <c r="J104" s="622">
        <v>6.7578454510127291E-3</v>
      </c>
      <c r="K104" s="623">
        <v>4.8772283888328287E-3</v>
      </c>
      <c r="L104" s="624">
        <v>4.5360485672390405E-3</v>
      </c>
      <c r="M104" s="625">
        <v>4.6490048667790253E-2</v>
      </c>
      <c r="N104" s="623">
        <v>4.6993625268283309E-2</v>
      </c>
      <c r="O104" s="626">
        <v>4.7752808988764044E-2</v>
      </c>
      <c r="P104" s="252"/>
      <c r="R104" s="8">
        <v>44</v>
      </c>
      <c r="S104" s="392">
        <v>753</v>
      </c>
      <c r="T104" s="403">
        <v>1.083079224440481</v>
      </c>
      <c r="U104" s="403">
        <v>1.083079224440481</v>
      </c>
      <c r="V104" s="403">
        <f t="shared" si="2"/>
        <v>1.0830792244404809E-2</v>
      </c>
    </row>
    <row r="105" spans="1:22" x14ac:dyDescent="0.2">
      <c r="A105" s="374">
        <v>27</v>
      </c>
      <c r="B105" s="622">
        <v>5.3804612676406531E-3</v>
      </c>
      <c r="C105" s="623">
        <v>3.7166825953063609E-3</v>
      </c>
      <c r="D105" s="624">
        <v>3.5080274418275693E-3</v>
      </c>
      <c r="E105" s="625">
        <v>4.2913481487019421E-2</v>
      </c>
      <c r="F105" s="623">
        <v>4.3099978326160325E-2</v>
      </c>
      <c r="G105" s="626">
        <v>4.3386843773987917E-2</v>
      </c>
      <c r="H105" s="247"/>
      <c r="I105" s="374">
        <v>27</v>
      </c>
      <c r="J105" s="622">
        <v>4.9191048935141746E-3</v>
      </c>
      <c r="K105" s="623">
        <v>3.10486687883257E-3</v>
      </c>
      <c r="L105" s="624">
        <v>2.8915596606871223E-3</v>
      </c>
      <c r="M105" s="625">
        <v>3.8555494536709145E-2</v>
      </c>
      <c r="N105" s="623">
        <v>3.7960085850658298E-2</v>
      </c>
      <c r="O105" s="626">
        <v>3.8799157303370788E-2</v>
      </c>
      <c r="P105" s="252"/>
      <c r="R105" s="8">
        <v>45</v>
      </c>
      <c r="S105" s="392">
        <v>537</v>
      </c>
      <c r="T105" s="403">
        <v>0.77239514412289278</v>
      </c>
      <c r="U105" s="403">
        <v>0.77239514412289278</v>
      </c>
      <c r="V105" s="403">
        <f t="shared" si="2"/>
        <v>7.7239514412289281E-3</v>
      </c>
    </row>
    <row r="106" spans="1:22" x14ac:dyDescent="0.2">
      <c r="A106" s="374">
        <v>28</v>
      </c>
      <c r="B106" s="622">
        <v>4.1074500989567277E-3</v>
      </c>
      <c r="C106" s="623">
        <v>2.4556652861845597E-3</v>
      </c>
      <c r="D106" s="624">
        <v>2.4046962302850272E-3</v>
      </c>
      <c r="E106" s="625">
        <v>3.8595966581313194E-2</v>
      </c>
      <c r="F106" s="623">
        <v>3.9756014490509951E-2</v>
      </c>
      <c r="G106" s="626">
        <v>4.0416513700230285E-2</v>
      </c>
      <c r="H106" s="247"/>
      <c r="I106" s="374">
        <v>28</v>
      </c>
      <c r="J106" s="622">
        <v>3.9144322177675417E-3</v>
      </c>
      <c r="K106" s="623">
        <v>2.3545240497813654E-3</v>
      </c>
      <c r="L106" s="624">
        <v>2.2200600238450894E-3</v>
      </c>
      <c r="M106" s="625">
        <v>3.9161474804476681E-2</v>
      </c>
      <c r="N106" s="623">
        <v>3.882499919915431E-2</v>
      </c>
      <c r="O106" s="626">
        <v>3.9360955056179772E-2</v>
      </c>
      <c r="P106" s="252"/>
      <c r="R106" s="8">
        <v>46</v>
      </c>
      <c r="S106" s="392">
        <v>455</v>
      </c>
      <c r="T106" s="403">
        <v>0.65445026178010468</v>
      </c>
      <c r="U106" s="403">
        <v>0.65445026178010468</v>
      </c>
      <c r="V106" s="403">
        <f t="shared" si="2"/>
        <v>6.5445026178010471E-3</v>
      </c>
    </row>
    <row r="107" spans="1:22" x14ac:dyDescent="0.2">
      <c r="A107" s="374">
        <v>29</v>
      </c>
      <c r="B107" s="622">
        <v>3.2620911197525585E-3</v>
      </c>
      <c r="C107" s="623">
        <v>1.9910799617712648E-3</v>
      </c>
      <c r="D107" s="624">
        <v>1.8530306245137563E-3</v>
      </c>
      <c r="E107" s="625">
        <v>3.6745603050296248E-2</v>
      </c>
      <c r="F107" s="623">
        <v>3.7433817382419417E-2</v>
      </c>
      <c r="G107" s="626">
        <v>3.8614290958849246E-2</v>
      </c>
      <c r="H107" s="247"/>
      <c r="I107" s="374">
        <v>29</v>
      </c>
      <c r="J107" s="622">
        <v>2.7960230126911011E-3</v>
      </c>
      <c r="K107" s="623">
        <v>1.6688659473725065E-3</v>
      </c>
      <c r="L107" s="624">
        <v>1.5348563127817901E-3</v>
      </c>
      <c r="M107" s="625">
        <v>3.4995360463574904E-2</v>
      </c>
      <c r="N107" s="623">
        <v>3.5621616426946855E-2</v>
      </c>
      <c r="O107" s="626">
        <v>3.6516853932584269E-2</v>
      </c>
      <c r="P107" s="252"/>
      <c r="R107" s="8">
        <v>47</v>
      </c>
      <c r="S107" s="392">
        <v>380</v>
      </c>
      <c r="T107" s="392">
        <v>0.54657384500316442</v>
      </c>
      <c r="U107" s="403">
        <v>0.54657384500316442</v>
      </c>
      <c r="V107" s="403">
        <f t="shared" si="2"/>
        <v>5.4657384500316443E-3</v>
      </c>
    </row>
    <row r="108" spans="1:22" x14ac:dyDescent="0.2">
      <c r="A108" s="377" t="s">
        <v>100</v>
      </c>
      <c r="B108" s="627">
        <v>2.5052461983709435E-2</v>
      </c>
      <c r="C108" s="628">
        <v>1.6738345545290433E-2</v>
      </c>
      <c r="D108" s="629">
        <v>1.5899285663766884E-2</v>
      </c>
      <c r="E108" s="630">
        <v>0.38375418200848549</v>
      </c>
      <c r="F108" s="628">
        <v>0.4076539616682664</v>
      </c>
      <c r="G108" s="631">
        <v>0.4200180222274138</v>
      </c>
      <c r="H108" s="247"/>
      <c r="I108" s="377" t="s">
        <v>100</v>
      </c>
      <c r="J108" s="627">
        <v>2.1458291866890335E-2</v>
      </c>
      <c r="K108" s="628">
        <v>1.3519107868250156E-2</v>
      </c>
      <c r="L108" s="629">
        <v>1.2621452357785971E-2</v>
      </c>
      <c r="M108" s="630">
        <v>0.38583899861760762</v>
      </c>
      <c r="N108" s="628">
        <v>0.41099400967421601</v>
      </c>
      <c r="O108" s="631">
        <v>0.42394662921348308</v>
      </c>
      <c r="P108" s="252"/>
      <c r="R108" s="8">
        <v>48</v>
      </c>
      <c r="S108" s="392">
        <v>306</v>
      </c>
      <c r="T108" s="392">
        <v>0.44013578044991658</v>
      </c>
      <c r="U108" s="403">
        <v>0.44013578044991658</v>
      </c>
      <c r="V108" s="403">
        <f t="shared" si="2"/>
        <v>4.4013578044991659E-3</v>
      </c>
    </row>
    <row r="109" spans="1:22" ht="13.5" thickBot="1" x14ac:dyDescent="0.25">
      <c r="A109" s="378" t="s">
        <v>34</v>
      </c>
      <c r="B109" s="632">
        <v>20.629026643725943</v>
      </c>
      <c r="C109" s="633">
        <v>20.342439205691832</v>
      </c>
      <c r="D109" s="634">
        <v>20.289228375415519</v>
      </c>
      <c r="E109" s="635">
        <v>28.470982935536323</v>
      </c>
      <c r="F109" s="633">
        <v>28.934421153667522</v>
      </c>
      <c r="G109" s="636">
        <v>29.182725361278912</v>
      </c>
      <c r="H109" s="247"/>
      <c r="I109" s="378" t="s">
        <v>34</v>
      </c>
      <c r="J109" s="632">
        <v>20.578407119906881</v>
      </c>
      <c r="K109" s="633">
        <v>20.306359802323474</v>
      </c>
      <c r="L109" s="634">
        <v>20.247975223033809</v>
      </c>
      <c r="M109" s="635">
        <v>28.557710152063166</v>
      </c>
      <c r="N109" s="633">
        <v>29.066021718935197</v>
      </c>
      <c r="O109" s="636">
        <v>29.324051966292135</v>
      </c>
      <c r="P109" s="252"/>
      <c r="R109" s="8">
        <v>49</v>
      </c>
      <c r="S109" s="392">
        <v>258</v>
      </c>
      <c r="T109" s="392">
        <v>0.37109487371267474</v>
      </c>
      <c r="U109" s="403">
        <v>0.37109487371267474</v>
      </c>
      <c r="V109" s="403">
        <f t="shared" si="2"/>
        <v>3.7109487371267476E-3</v>
      </c>
    </row>
    <row r="110" spans="1:22" ht="13.5" thickTop="1" x14ac:dyDescent="0.2">
      <c r="A110" s="247"/>
      <c r="B110" s="247"/>
      <c r="C110" s="247"/>
      <c r="D110" s="384"/>
      <c r="E110" s="384"/>
      <c r="F110" s="247"/>
      <c r="G110" s="247"/>
      <c r="H110" s="247"/>
      <c r="I110" s="247"/>
      <c r="J110" s="252"/>
      <c r="K110" s="252"/>
      <c r="L110" s="252"/>
      <c r="M110" s="252"/>
      <c r="N110" s="252"/>
      <c r="O110" s="252"/>
      <c r="P110" s="252"/>
      <c r="R110" s="8">
        <v>50</v>
      </c>
      <c r="S110" s="392">
        <v>173</v>
      </c>
      <c r="T110" s="392">
        <v>0.24883493469880905</v>
      </c>
      <c r="U110" s="403">
        <v>0.24883493469880905</v>
      </c>
      <c r="V110" s="403">
        <f t="shared" si="2"/>
        <v>2.4883493469880905E-3</v>
      </c>
    </row>
    <row r="111" spans="1:22" ht="13.5" thickBot="1" x14ac:dyDescent="0.25">
      <c r="A111" s="717" t="s">
        <v>16</v>
      </c>
      <c r="B111" s="718"/>
      <c r="C111" s="718"/>
      <c r="D111" s="718"/>
      <c r="E111" s="718"/>
      <c r="F111" s="718"/>
      <c r="G111" s="718"/>
      <c r="H111" s="247"/>
      <c r="I111" s="717" t="s">
        <v>17</v>
      </c>
      <c r="J111" s="718"/>
      <c r="K111" s="718"/>
      <c r="L111" s="718"/>
      <c r="M111" s="718"/>
      <c r="N111" s="718"/>
      <c r="O111" s="718"/>
      <c r="P111" s="252"/>
      <c r="R111" s="8">
        <v>51</v>
      </c>
      <c r="S111" s="392">
        <v>147</v>
      </c>
      <c r="T111" s="392">
        <v>0.21143777688280307</v>
      </c>
      <c r="U111" s="403">
        <v>0.21143777688280307</v>
      </c>
      <c r="V111" s="403">
        <f t="shared" si="2"/>
        <v>2.1143777688280309E-3</v>
      </c>
    </row>
    <row r="112" spans="1:22" ht="39" thickTop="1" x14ac:dyDescent="0.2">
      <c r="A112" s="360" t="s">
        <v>119</v>
      </c>
      <c r="B112" s="361" t="s">
        <v>94</v>
      </c>
      <c r="C112" s="362" t="s">
        <v>95</v>
      </c>
      <c r="D112" s="363" t="s">
        <v>96</v>
      </c>
      <c r="E112" s="364" t="s">
        <v>94</v>
      </c>
      <c r="F112" s="362" t="s">
        <v>95</v>
      </c>
      <c r="G112" s="365" t="s">
        <v>96</v>
      </c>
      <c r="H112" s="252"/>
      <c r="I112" s="360" t="s">
        <v>120</v>
      </c>
      <c r="J112" s="361" t="s">
        <v>94</v>
      </c>
      <c r="K112" s="362" t="s">
        <v>95</v>
      </c>
      <c r="L112" s="363" t="s">
        <v>96</v>
      </c>
      <c r="M112" s="364" t="s">
        <v>94</v>
      </c>
      <c r="N112" s="362" t="s">
        <v>95</v>
      </c>
      <c r="O112" s="365" t="s">
        <v>96</v>
      </c>
      <c r="P112" s="252"/>
      <c r="Q112" s="388"/>
      <c r="R112" s="388">
        <v>52</v>
      </c>
      <c r="S112" s="392">
        <v>113</v>
      </c>
      <c r="T112" s="392">
        <v>0.16253380127725678</v>
      </c>
      <c r="U112" s="403">
        <v>0.16253380127725678</v>
      </c>
      <c r="V112" s="403">
        <f t="shared" si="2"/>
        <v>1.6253380127725678E-3</v>
      </c>
    </row>
    <row r="113" spans="1:22" ht="13.5" thickBot="1" x14ac:dyDescent="0.25">
      <c r="A113" s="366"/>
      <c r="B113" s="367" t="s">
        <v>98</v>
      </c>
      <c r="C113" s="368"/>
      <c r="D113" s="369"/>
      <c r="E113" s="370" t="s">
        <v>99</v>
      </c>
      <c r="F113" s="368"/>
      <c r="G113" s="371"/>
      <c r="H113" s="252"/>
      <c r="I113" s="366"/>
      <c r="J113" s="367" t="s">
        <v>98</v>
      </c>
      <c r="K113" s="368"/>
      <c r="L113" s="369"/>
      <c r="M113" s="370" t="s">
        <v>99</v>
      </c>
      <c r="N113" s="368"/>
      <c r="O113" s="371"/>
      <c r="P113" s="252"/>
      <c r="Q113" s="388"/>
      <c r="R113" s="388">
        <v>53</v>
      </c>
      <c r="S113" s="392">
        <v>84</v>
      </c>
      <c r="T113" s="392">
        <v>0.12082158679017317</v>
      </c>
      <c r="U113" s="403">
        <v>0.12082158679017317</v>
      </c>
      <c r="V113" s="403">
        <f t="shared" si="2"/>
        <v>1.2082158679017317E-3</v>
      </c>
    </row>
    <row r="114" spans="1:22" ht="13.5" thickTop="1" x14ac:dyDescent="0.2">
      <c r="A114" s="372">
        <v>18</v>
      </c>
      <c r="B114" s="617">
        <v>4.509268517806325E-3</v>
      </c>
      <c r="C114" s="618">
        <v>4.8864236661384066E-3</v>
      </c>
      <c r="D114" s="619">
        <v>4.8987865649370759E-3</v>
      </c>
      <c r="E114" s="620">
        <v>5.0459744337295377E-4</v>
      </c>
      <c r="F114" s="618">
        <v>3.9831380489262132E-4</v>
      </c>
      <c r="G114" s="621">
        <v>2.8955083426834122E-4</v>
      </c>
      <c r="H114" s="252"/>
      <c r="I114" s="372">
        <v>18</v>
      </c>
      <c r="J114" s="617">
        <v>4.7778874629812486E-3</v>
      </c>
      <c r="K114" s="618">
        <v>4.942429594337429E-3</v>
      </c>
      <c r="L114" s="619">
        <v>5.0434172441013959E-3</v>
      </c>
      <c r="M114" s="620">
        <v>5.3374324814791079E-4</v>
      </c>
      <c r="N114" s="618">
        <v>4.0795134253078161E-4</v>
      </c>
      <c r="O114" s="621">
        <v>2.8471487838607317E-4</v>
      </c>
      <c r="P114" s="252"/>
      <c r="Q114" s="388"/>
      <c r="R114" s="388">
        <v>54</v>
      </c>
      <c r="S114" s="392">
        <v>58</v>
      </c>
      <c r="T114" s="392">
        <v>8.34244289741672E-2</v>
      </c>
      <c r="U114" s="403">
        <v>8.34244289741672E-2</v>
      </c>
      <c r="V114" s="403">
        <f t="shared" si="2"/>
        <v>8.34244289741672E-4</v>
      </c>
    </row>
    <row r="115" spans="1:22" x14ac:dyDescent="0.2">
      <c r="A115" s="374">
        <v>19</v>
      </c>
      <c r="B115" s="622">
        <v>0.43532228290131547</v>
      </c>
      <c r="C115" s="623">
        <v>0.47641310089804562</v>
      </c>
      <c r="D115" s="624">
        <v>0.48868211379824883</v>
      </c>
      <c r="E115" s="625">
        <v>6.6588173731030889E-2</v>
      </c>
      <c r="F115" s="623">
        <v>5.1482059282371297E-2</v>
      </c>
      <c r="G115" s="626">
        <v>4.1622932426074052E-2</v>
      </c>
      <c r="H115" s="252"/>
      <c r="I115" s="374">
        <v>19</v>
      </c>
      <c r="J115" s="622">
        <v>0.43363277393879607</v>
      </c>
      <c r="K115" s="623">
        <v>0.47899125148888999</v>
      </c>
      <c r="L115" s="624">
        <v>0.49153583019033426</v>
      </c>
      <c r="M115" s="625">
        <v>6.4625632485749027E-2</v>
      </c>
      <c r="N115" s="623">
        <v>5.1846906987093877E-2</v>
      </c>
      <c r="O115" s="626">
        <v>4.2951273082241892E-2</v>
      </c>
      <c r="P115" s="252"/>
      <c r="Q115" s="388"/>
      <c r="R115" s="388">
        <v>55</v>
      </c>
      <c r="S115" s="392">
        <v>32</v>
      </c>
      <c r="T115" s="392">
        <v>4.6027271158161208E-2</v>
      </c>
      <c r="U115" s="403">
        <v>4.6027271158161208E-2</v>
      </c>
      <c r="V115" s="403">
        <f t="shared" si="2"/>
        <v>4.6027271158161206E-4</v>
      </c>
    </row>
    <row r="116" spans="1:22" x14ac:dyDescent="0.2">
      <c r="A116" s="374">
        <v>20</v>
      </c>
      <c r="B116" s="622">
        <v>0.25153834320436902</v>
      </c>
      <c r="C116" s="623">
        <v>0.24729265715795046</v>
      </c>
      <c r="D116" s="624">
        <v>0.24719164390889381</v>
      </c>
      <c r="E116" s="625">
        <v>7.8605068400986786E-2</v>
      </c>
      <c r="F116" s="623">
        <v>6.8310817539084551E-2</v>
      </c>
      <c r="G116" s="626">
        <v>6.2615367910528796E-2</v>
      </c>
      <c r="H116" s="252"/>
      <c r="I116" s="374">
        <v>20</v>
      </c>
      <c r="J116" s="622">
        <v>0.24906219151036549</v>
      </c>
      <c r="K116" s="623">
        <v>0.24187784942703425</v>
      </c>
      <c r="L116" s="624">
        <v>0.24247872993597056</v>
      </c>
      <c r="M116" s="625">
        <v>8.0744678579815932E-2</v>
      </c>
      <c r="N116" s="623">
        <v>7.3468328141225295E-2</v>
      </c>
      <c r="O116" s="626">
        <v>6.7884161718050867E-2</v>
      </c>
      <c r="P116" s="252"/>
      <c r="Q116" s="388"/>
      <c r="R116" s="388">
        <v>56</v>
      </c>
      <c r="S116" s="392">
        <v>13</v>
      </c>
      <c r="T116" s="392">
        <v>1.8698578908002993E-2</v>
      </c>
      <c r="U116" s="403">
        <v>1.8698578908002993E-2</v>
      </c>
      <c r="V116" s="403">
        <f t="shared" si="2"/>
        <v>1.8698578908002991E-4</v>
      </c>
    </row>
    <row r="117" spans="1:22" x14ac:dyDescent="0.2">
      <c r="A117" s="374">
        <v>21</v>
      </c>
      <c r="B117" s="622">
        <v>0.10566494885008851</v>
      </c>
      <c r="C117" s="623">
        <v>9.5972002113048113E-2</v>
      </c>
      <c r="D117" s="624">
        <v>9.3274022354232947E-2</v>
      </c>
      <c r="E117" s="625">
        <v>6.6438663377438908E-2</v>
      </c>
      <c r="F117" s="623">
        <v>6.4194908221860802E-2</v>
      </c>
      <c r="G117" s="626">
        <v>6.1240001447754169E-2</v>
      </c>
      <c r="H117" s="252"/>
      <c r="I117" s="374">
        <v>21</v>
      </c>
      <c r="J117" s="622">
        <v>0.11353405725567633</v>
      </c>
      <c r="K117" s="623">
        <v>0.10322969291220004</v>
      </c>
      <c r="L117" s="624">
        <v>9.9260298804198482E-2</v>
      </c>
      <c r="M117" s="625">
        <v>7.777706612011355E-2</v>
      </c>
      <c r="N117" s="623">
        <v>7.3727933541017615E-2</v>
      </c>
      <c r="O117" s="626">
        <v>7.2236232001952269E-2</v>
      </c>
      <c r="P117" s="252"/>
      <c r="Q117" s="388"/>
      <c r="R117" s="388">
        <v>57</v>
      </c>
      <c r="S117" s="392">
        <v>10</v>
      </c>
      <c r="T117" s="392">
        <v>1.4383522236925378E-2</v>
      </c>
      <c r="U117" s="403">
        <v>1.4383522236925378E-2</v>
      </c>
      <c r="V117" s="403">
        <f t="shared" si="2"/>
        <v>1.4383522236925377E-4</v>
      </c>
    </row>
    <row r="118" spans="1:22" x14ac:dyDescent="0.2">
      <c r="A118" s="374">
        <v>22</v>
      </c>
      <c r="B118" s="622">
        <v>7.6792169833089799E-2</v>
      </c>
      <c r="C118" s="623">
        <v>7.1143687268885397E-2</v>
      </c>
      <c r="D118" s="624">
        <v>6.7245699484782789E-2</v>
      </c>
      <c r="E118" s="625">
        <v>7.1858413695148407E-2</v>
      </c>
      <c r="F118" s="623">
        <v>7.255949812460584E-2</v>
      </c>
      <c r="G118" s="626">
        <v>7.2206739295667594E-2</v>
      </c>
      <c r="H118" s="252"/>
      <c r="I118" s="374">
        <v>22</v>
      </c>
      <c r="J118" s="622">
        <v>7.5320829220138275E-2</v>
      </c>
      <c r="K118" s="623">
        <v>6.9235087142837604E-2</v>
      </c>
      <c r="L118" s="624">
        <v>6.5988363593836807E-2</v>
      </c>
      <c r="M118" s="625">
        <v>7.4062213113004094E-2</v>
      </c>
      <c r="N118" s="623">
        <v>7.361667408396376E-2</v>
      </c>
      <c r="O118" s="626">
        <v>7.2805661758724424E-2</v>
      </c>
      <c r="P118" s="252"/>
      <c r="Q118" s="388"/>
      <c r="R118" s="388">
        <v>58</v>
      </c>
      <c r="S118" s="392">
        <v>18</v>
      </c>
      <c r="T118" s="392">
        <v>2.5890340026465682E-2</v>
      </c>
      <c r="U118" s="403">
        <v>2.5890340026465682E-2</v>
      </c>
      <c r="V118" s="403">
        <f t="shared" si="2"/>
        <v>2.5890340026465681E-4</v>
      </c>
    </row>
    <row r="119" spans="1:22" x14ac:dyDescent="0.2">
      <c r="A119" s="374">
        <v>23</v>
      </c>
      <c r="B119" s="622">
        <v>4.5631105299592356E-2</v>
      </c>
      <c r="C119" s="623">
        <v>4.1138404648705773E-2</v>
      </c>
      <c r="D119" s="624">
        <v>3.9443678031476109E-2</v>
      </c>
      <c r="E119" s="625">
        <v>6.7877700530761767E-2</v>
      </c>
      <c r="F119" s="623">
        <v>6.9970458392803803E-2</v>
      </c>
      <c r="G119" s="626">
        <v>6.9745557204386688E-2</v>
      </c>
      <c r="H119" s="252"/>
      <c r="I119" s="374">
        <v>23</v>
      </c>
      <c r="J119" s="622">
        <v>4.6495557749259675E-2</v>
      </c>
      <c r="K119" s="623">
        <v>4.2113333607152165E-2</v>
      </c>
      <c r="L119" s="624">
        <v>3.971873812238693E-2</v>
      </c>
      <c r="M119" s="625">
        <v>7.2183436879523444E-2</v>
      </c>
      <c r="N119" s="623">
        <v>7.3468328141225295E-2</v>
      </c>
      <c r="O119" s="626">
        <v>7.2846335312779578E-2</v>
      </c>
      <c r="P119" s="252"/>
      <c r="Q119" s="388"/>
      <c r="R119" s="388">
        <v>59</v>
      </c>
      <c r="S119" s="392">
        <v>10</v>
      </c>
      <c r="T119" s="392">
        <v>1.4383522236925378E-2</v>
      </c>
      <c r="U119" s="403">
        <v>1.4383522236925378E-2</v>
      </c>
      <c r="V119" s="403">
        <f t="shared" si="2"/>
        <v>1.4383522236925377E-4</v>
      </c>
    </row>
    <row r="120" spans="1:22" x14ac:dyDescent="0.2">
      <c r="A120" s="374">
        <v>24</v>
      </c>
      <c r="B120" s="622">
        <v>2.850742250596109E-2</v>
      </c>
      <c r="C120" s="623">
        <v>2.6043317485472804E-2</v>
      </c>
      <c r="D120" s="624">
        <v>2.455024071623638E-2</v>
      </c>
      <c r="E120" s="625">
        <v>6.182253121028633E-2</v>
      </c>
      <c r="F120" s="623">
        <v>6.5788163441431277E-2</v>
      </c>
      <c r="G120" s="626">
        <v>6.5691845524629922E-2</v>
      </c>
      <c r="H120" s="252"/>
      <c r="I120" s="374">
        <v>24</v>
      </c>
      <c r="J120" s="622">
        <v>2.8983218163869725E-2</v>
      </c>
      <c r="K120" s="623">
        <v>2.5862186990868154E-2</v>
      </c>
      <c r="L120" s="624">
        <v>2.4456918983714885E-2</v>
      </c>
      <c r="M120" s="625">
        <v>6.355814598945321E-2</v>
      </c>
      <c r="N120" s="623">
        <v>6.4270879691440408E-2</v>
      </c>
      <c r="O120" s="626">
        <v>6.4508256731473146E-2</v>
      </c>
      <c r="P120" s="252"/>
      <c r="Q120" s="388"/>
      <c r="R120" s="388">
        <v>60</v>
      </c>
      <c r="S120" s="392">
        <v>4</v>
      </c>
      <c r="T120" s="392">
        <v>5.753408894770151E-3</v>
      </c>
      <c r="U120" s="403">
        <v>5.753408894770151E-3</v>
      </c>
      <c r="V120" s="403">
        <f t="shared" si="2"/>
        <v>5.7534088947701508E-5</v>
      </c>
    </row>
    <row r="121" spans="1:22" x14ac:dyDescent="0.2">
      <c r="A121" s="374">
        <v>25</v>
      </c>
      <c r="B121" s="622">
        <v>1.5143065918006314E-2</v>
      </c>
      <c r="C121" s="623">
        <v>1.3549920760697311E-2</v>
      </c>
      <c r="D121" s="624">
        <v>1.2472197978546692E-2</v>
      </c>
      <c r="E121" s="625">
        <v>5.1936159079016234E-2</v>
      </c>
      <c r="F121" s="623">
        <v>5.2876157599495474E-2</v>
      </c>
      <c r="G121" s="626">
        <v>5.3385935068225414E-2</v>
      </c>
      <c r="H121" s="252"/>
      <c r="I121" s="374">
        <v>25</v>
      </c>
      <c r="J121" s="622">
        <v>1.542941757156961E-2</v>
      </c>
      <c r="K121" s="623">
        <v>1.3115921194945311E-2</v>
      </c>
      <c r="L121" s="624">
        <v>1.2308861795748914E-2</v>
      </c>
      <c r="M121" s="625">
        <v>5.3438374004568828E-2</v>
      </c>
      <c r="N121" s="623">
        <v>5.5889333926717077E-2</v>
      </c>
      <c r="O121" s="626">
        <v>5.6332872366387336E-2</v>
      </c>
      <c r="P121" s="252"/>
      <c r="Q121" s="388"/>
      <c r="R121" s="388">
        <v>61</v>
      </c>
      <c r="S121" s="392">
        <v>4</v>
      </c>
      <c r="T121" s="392">
        <v>5.753408894770151E-3</v>
      </c>
      <c r="U121" s="403">
        <v>5.753408894770151E-3</v>
      </c>
      <c r="V121" s="403">
        <f t="shared" si="2"/>
        <v>5.7534088947701508E-5</v>
      </c>
    </row>
    <row r="122" spans="1:22" x14ac:dyDescent="0.2">
      <c r="A122" s="374">
        <v>26</v>
      </c>
      <c r="B122" s="622">
        <v>6.8360126144142788E-3</v>
      </c>
      <c r="C122" s="623">
        <v>5.0052826201796106E-3</v>
      </c>
      <c r="D122" s="624">
        <v>4.7157859173963231E-3</v>
      </c>
      <c r="E122" s="625">
        <v>4.5170815578978854E-2</v>
      </c>
      <c r="F122" s="623">
        <v>4.756530686759386E-2</v>
      </c>
      <c r="G122" s="626">
        <v>4.8318795468529442E-2</v>
      </c>
      <c r="H122" s="252"/>
      <c r="I122" s="374">
        <v>26</v>
      </c>
      <c r="J122" s="622">
        <v>6.2586377097729583E-3</v>
      </c>
      <c r="K122" s="623">
        <v>4.6686107802467128E-3</v>
      </c>
      <c r="L122" s="624">
        <v>4.2101570037715993E-3</v>
      </c>
      <c r="M122" s="625">
        <v>4.4663635005017174E-2</v>
      </c>
      <c r="N122" s="623">
        <v>4.5171339563862906E-2</v>
      </c>
      <c r="O122" s="626">
        <v>4.4700235906613484E-2</v>
      </c>
      <c r="P122" s="252"/>
      <c r="Q122" s="388"/>
      <c r="R122" s="388">
        <v>62</v>
      </c>
      <c r="S122" s="392">
        <v>4</v>
      </c>
      <c r="T122" s="392">
        <v>5.753408894770151E-3</v>
      </c>
      <c r="U122" s="403">
        <v>5.753408894770151E-3</v>
      </c>
      <c r="V122" s="403">
        <f t="shared" si="2"/>
        <v>5.7534088947701508E-5</v>
      </c>
    </row>
    <row r="123" spans="1:22" x14ac:dyDescent="0.2">
      <c r="A123" s="374">
        <v>27</v>
      </c>
      <c r="B123" s="622">
        <v>4.3458195523421294E-3</v>
      </c>
      <c r="C123" s="623">
        <v>3.1035393555203395E-3</v>
      </c>
      <c r="D123" s="624">
        <v>2.9139333877642951E-3</v>
      </c>
      <c r="E123" s="625">
        <v>3.9956641997458332E-2</v>
      </c>
      <c r="F123" s="623">
        <v>4.1524214160055771E-2</v>
      </c>
      <c r="G123" s="626">
        <v>4.2383003366028446E-2</v>
      </c>
      <c r="H123" s="252"/>
      <c r="I123" s="374">
        <v>27</v>
      </c>
      <c r="J123" s="622">
        <v>4.086870681145118E-3</v>
      </c>
      <c r="K123" s="623">
        <v>2.6423515559754122E-3</v>
      </c>
      <c r="L123" s="624">
        <v>2.4705435195743071E-3</v>
      </c>
      <c r="M123" s="625">
        <v>3.7767672238946164E-2</v>
      </c>
      <c r="N123" s="623">
        <v>3.8013647826731917E-2</v>
      </c>
      <c r="O123" s="626">
        <v>3.859920279834049E-2</v>
      </c>
      <c r="P123" s="252"/>
      <c r="Q123" s="388"/>
      <c r="R123" s="388">
        <v>63</v>
      </c>
      <c r="S123" s="392">
        <v>1</v>
      </c>
      <c r="T123" s="392">
        <v>1.4383522236925377E-3</v>
      </c>
      <c r="U123" s="403">
        <v>1.4383522236925377E-3</v>
      </c>
      <c r="V123" s="403">
        <f t="shared" si="2"/>
        <v>1.4383522236925377E-5</v>
      </c>
    </row>
    <row r="124" spans="1:22" x14ac:dyDescent="0.2">
      <c r="A124" s="374">
        <v>28</v>
      </c>
      <c r="B124" s="622">
        <v>3.3747404045842643E-3</v>
      </c>
      <c r="C124" s="623">
        <v>2.0073956682514537E-3</v>
      </c>
      <c r="D124" s="624">
        <v>1.9707762042850303E-3</v>
      </c>
      <c r="E124" s="625">
        <v>3.5863796067877714E-2</v>
      </c>
      <c r="F124" s="623">
        <v>3.6379327513526079E-2</v>
      </c>
      <c r="G124" s="626">
        <v>3.7171088349198307E-2</v>
      </c>
      <c r="H124" s="252"/>
      <c r="I124" s="374">
        <v>28</v>
      </c>
      <c r="J124" s="622">
        <v>3.2379072063178711E-3</v>
      </c>
      <c r="K124" s="623">
        <v>2.0810229870894437E-3</v>
      </c>
      <c r="L124" s="624">
        <v>1.8565622898576153E-3</v>
      </c>
      <c r="M124" s="625">
        <v>3.3817972202651626E-2</v>
      </c>
      <c r="N124" s="623">
        <v>3.4601691143747199E-2</v>
      </c>
      <c r="O124" s="626">
        <v>3.5467339136093685E-2</v>
      </c>
      <c r="P124" s="252"/>
      <c r="Q124" s="388"/>
      <c r="R124" s="388">
        <v>100</v>
      </c>
      <c r="S124" s="392">
        <v>15</v>
      </c>
      <c r="T124" s="392">
        <v>2.1575283355388067E-2</v>
      </c>
      <c r="U124" s="403">
        <v>2.1575283355388067E-2</v>
      </c>
      <c r="V124" s="403">
        <f t="shared" si="2"/>
        <v>2.1575283355388067E-4</v>
      </c>
    </row>
    <row r="125" spans="1:22" x14ac:dyDescent="0.2">
      <c r="A125" s="374">
        <v>29</v>
      </c>
      <c r="B125" s="622">
        <v>2.8940081532189844E-3</v>
      </c>
      <c r="C125" s="623">
        <v>1.7696777601690443E-3</v>
      </c>
      <c r="D125" s="624">
        <v>1.5766209634280246E-3</v>
      </c>
      <c r="E125" s="625">
        <v>3.2144726022277054E-2</v>
      </c>
      <c r="F125" s="623">
        <v>3.2894081720715639E-2</v>
      </c>
      <c r="G125" s="626">
        <v>3.3370733649426325E-2</v>
      </c>
      <c r="H125" s="252"/>
      <c r="I125" s="374">
        <v>29</v>
      </c>
      <c r="J125" s="622">
        <v>2.4185587364264583E-3</v>
      </c>
      <c r="K125" s="623">
        <v>1.5607672403170827E-3</v>
      </c>
      <c r="L125" s="624">
        <v>1.4326228693389473E-3</v>
      </c>
      <c r="M125" s="625">
        <v>3.2536988407096644E-2</v>
      </c>
      <c r="N125" s="623">
        <v>3.3859961430054868E-2</v>
      </c>
      <c r="O125" s="626">
        <v>3.4694541609045774E-2</v>
      </c>
      <c r="P125" s="252"/>
      <c r="Q125" s="388"/>
      <c r="R125" s="388" t="s">
        <v>65</v>
      </c>
      <c r="S125" s="392">
        <v>69524</v>
      </c>
      <c r="T125" s="392">
        <v>100</v>
      </c>
      <c r="U125" s="403">
        <v>100</v>
      </c>
    </row>
    <row r="126" spans="1:22" x14ac:dyDescent="0.2">
      <c r="A126" s="377" t="s">
        <v>100</v>
      </c>
      <c r="B126" s="627">
        <v>1.9440812245211891E-2</v>
      </c>
      <c r="C126" s="628">
        <v>1.1674590596936089E-2</v>
      </c>
      <c r="D126" s="629">
        <v>1.1064500689771665E-2</v>
      </c>
      <c r="E126" s="630">
        <v>0.38123271286536586</v>
      </c>
      <c r="F126" s="628">
        <v>0.39605669333156318</v>
      </c>
      <c r="G126" s="631">
        <v>0.41195844945528265</v>
      </c>
      <c r="H126" s="252"/>
      <c r="I126" s="377" t="s">
        <v>100</v>
      </c>
      <c r="J126" s="627">
        <v>1.6762092793681238E-2</v>
      </c>
      <c r="K126" s="628">
        <v>9.6794950781063926E-3</v>
      </c>
      <c r="L126" s="629">
        <v>9.2389556471651479E-3</v>
      </c>
      <c r="M126" s="630">
        <v>0.36429044172591252</v>
      </c>
      <c r="N126" s="628">
        <v>0.38165702418038905</v>
      </c>
      <c r="O126" s="631">
        <v>0.396689172699911</v>
      </c>
      <c r="P126" s="252"/>
      <c r="Q126" s="389">
        <f>SUM(J114:J126)</f>
        <v>1</v>
      </c>
      <c r="R126" s="389">
        <f>SUM(M114:M126)</f>
        <v>1</v>
      </c>
      <c r="S126" s="392">
        <v>1</v>
      </c>
      <c r="T126" s="392">
        <v>1.0057529066259002E-3</v>
      </c>
      <c r="U126" s="403"/>
    </row>
    <row r="127" spans="1:22" ht="13.5" thickBot="1" x14ac:dyDescent="0.25">
      <c r="A127" s="378" t="s">
        <v>34</v>
      </c>
      <c r="B127" s="632">
        <v>20.580464964233528</v>
      </c>
      <c r="C127" s="633">
        <v>20.321183306920236</v>
      </c>
      <c r="D127" s="634">
        <v>20.267223176328166</v>
      </c>
      <c r="E127" s="635">
        <v>28.527397772295739</v>
      </c>
      <c r="F127" s="633">
        <v>28.840043814518545</v>
      </c>
      <c r="G127" s="636">
        <v>29.156104093524938</v>
      </c>
      <c r="H127" s="252"/>
      <c r="I127" s="378" t="s">
        <v>34</v>
      </c>
      <c r="J127" s="632">
        <v>20.54</v>
      </c>
      <c r="K127" s="633">
        <v>20.28</v>
      </c>
      <c r="L127" s="634">
        <v>20.23</v>
      </c>
      <c r="M127" s="635">
        <v>28.26</v>
      </c>
      <c r="N127" s="633">
        <v>28.64</v>
      </c>
      <c r="O127" s="636">
        <v>28.94</v>
      </c>
      <c r="P127" s="252"/>
      <c r="Q127" s="388"/>
      <c r="R127" s="388"/>
      <c r="S127" s="392">
        <v>99428</v>
      </c>
      <c r="T127" s="392">
        <v>100</v>
      </c>
      <c r="U127" s="403"/>
    </row>
    <row r="128" spans="1:22" ht="13.5" thickTop="1" x14ac:dyDescent="0.2">
      <c r="A128" s="252"/>
      <c r="B128" s="252"/>
      <c r="C128" s="252"/>
      <c r="D128" s="252"/>
      <c r="E128" s="385"/>
      <c r="F128" s="385"/>
      <c r="G128" s="252"/>
      <c r="H128" s="252"/>
      <c r="I128" s="386"/>
      <c r="J128" s="252"/>
      <c r="K128" s="252"/>
      <c r="L128" s="252"/>
      <c r="M128" s="385"/>
      <c r="N128" s="385"/>
      <c r="O128" s="252"/>
      <c r="P128" s="252"/>
      <c r="Q128" s="388">
        <v>101300</v>
      </c>
      <c r="U128" s="403"/>
    </row>
    <row r="129" spans="1:21" ht="13.5" thickBot="1" x14ac:dyDescent="0.25">
      <c r="A129" s="717" t="s">
        <v>35</v>
      </c>
      <c r="B129" s="718"/>
      <c r="C129" s="718"/>
      <c r="D129" s="718"/>
      <c r="E129" s="718"/>
      <c r="F129" s="718"/>
      <c r="G129" s="718"/>
      <c r="H129" s="252"/>
      <c r="I129" s="717" t="s">
        <v>542</v>
      </c>
      <c r="J129" s="718"/>
      <c r="K129" s="718"/>
      <c r="L129" s="718"/>
      <c r="M129" s="718"/>
      <c r="N129" s="718"/>
      <c r="O129" s="718"/>
      <c r="P129" s="252"/>
      <c r="U129" s="403"/>
    </row>
    <row r="130" spans="1:21" ht="39" thickTop="1" x14ac:dyDescent="0.2">
      <c r="A130" s="360" t="s">
        <v>121</v>
      </c>
      <c r="B130" s="361" t="s">
        <v>94</v>
      </c>
      <c r="C130" s="362" t="s">
        <v>95</v>
      </c>
      <c r="D130" s="363" t="s">
        <v>96</v>
      </c>
      <c r="E130" s="364" t="s">
        <v>94</v>
      </c>
      <c r="F130" s="362" t="s">
        <v>95</v>
      </c>
      <c r="G130" s="365" t="s">
        <v>96</v>
      </c>
      <c r="H130" s="252"/>
      <c r="I130" s="360" t="s">
        <v>543</v>
      </c>
      <c r="J130" s="361" t="s">
        <v>94</v>
      </c>
      <c r="K130" s="362" t="s">
        <v>95</v>
      </c>
      <c r="L130" s="363" t="s">
        <v>96</v>
      </c>
      <c r="M130" s="364" t="s">
        <v>94</v>
      </c>
      <c r="N130" s="362" t="s">
        <v>95</v>
      </c>
      <c r="O130" s="365" t="s">
        <v>96</v>
      </c>
      <c r="P130" s="388"/>
      <c r="R130" s="392"/>
      <c r="T130" s="403"/>
    </row>
    <row r="131" spans="1:21" ht="13.5" thickBot="1" x14ac:dyDescent="0.25">
      <c r="A131" s="366"/>
      <c r="B131" s="367" t="s">
        <v>98</v>
      </c>
      <c r="C131" s="368"/>
      <c r="D131" s="369"/>
      <c r="E131" s="370" t="s">
        <v>99</v>
      </c>
      <c r="F131" s="368"/>
      <c r="G131" s="371"/>
      <c r="H131" s="252"/>
      <c r="I131" s="366"/>
      <c r="J131" s="367" t="s">
        <v>98</v>
      </c>
      <c r="K131" s="368"/>
      <c r="L131" s="369"/>
      <c r="M131" s="370" t="s">
        <v>99</v>
      </c>
      <c r="N131" s="368"/>
      <c r="O131" s="371"/>
      <c r="P131" s="388"/>
      <c r="R131" s="392"/>
      <c r="T131" s="403"/>
    </row>
    <row r="132" spans="1:21" ht="13.5" thickTop="1" x14ac:dyDescent="0.2">
      <c r="A132" s="372">
        <v>18</v>
      </c>
      <c r="B132" s="617">
        <f>1-SUM(B133:B144)</f>
        <v>3.4830000000000139E-3</v>
      </c>
      <c r="C132" s="618">
        <f>1-SUM(C133:C144)</f>
        <v>3.7629999999999608E-3</v>
      </c>
      <c r="D132" s="619">
        <f>1-SUM(D133:D144)</f>
        <v>3.7530000000001174E-3</v>
      </c>
      <c r="E132" s="620">
        <v>5.0799999999999999E-4</v>
      </c>
      <c r="F132" s="618">
        <v>4.0299999999999998E-4</v>
      </c>
      <c r="G132" s="621">
        <v>2.6800000000000001E-4</v>
      </c>
      <c r="H132" s="252"/>
      <c r="I132" s="372">
        <v>18</v>
      </c>
      <c r="J132" s="617">
        <f>1-SUM(J133:J144)</f>
        <v>4.6310000000000517E-3</v>
      </c>
      <c r="K132" s="618">
        <f>1-SUM(K133:K144)</f>
        <v>4.8890000000000322E-3</v>
      </c>
      <c r="L132" s="619">
        <f>1-SUM(L133:L144)</f>
        <v>4.8979999999999579E-3</v>
      </c>
      <c r="M132" s="620">
        <v>5.0799999999999999E-4</v>
      </c>
      <c r="N132" s="618">
        <v>4.0299999999999998E-4</v>
      </c>
      <c r="O132" s="621">
        <v>2.6800000000000001E-4</v>
      </c>
      <c r="P132" s="388"/>
      <c r="R132" s="392"/>
      <c r="T132" s="403"/>
    </row>
    <row r="133" spans="1:21" x14ac:dyDescent="0.2">
      <c r="A133" s="374">
        <v>19</v>
      </c>
      <c r="B133" s="622">
        <v>0.41340900000000003</v>
      </c>
      <c r="C133" s="623">
        <v>0.45624599999999998</v>
      </c>
      <c r="D133" s="624">
        <v>0.46803499999999998</v>
      </c>
      <c r="E133" s="625">
        <v>6.3353000000000007E-2</v>
      </c>
      <c r="F133" s="623">
        <v>5.0083000000000003E-2</v>
      </c>
      <c r="G133" s="626">
        <v>3.8627000000000002E-2</v>
      </c>
      <c r="H133" s="252"/>
      <c r="I133" s="374">
        <v>19</v>
      </c>
      <c r="J133" s="622">
        <v>0.39259300000000003</v>
      </c>
      <c r="K133" s="623">
        <v>0.43282300000000001</v>
      </c>
      <c r="L133" s="624">
        <v>0.44562600000000002</v>
      </c>
      <c r="M133" s="625">
        <v>5.5839E-2</v>
      </c>
      <c r="N133" s="623">
        <v>4.5562999999999999E-2</v>
      </c>
      <c r="O133" s="626">
        <v>3.6353000000000003E-2</v>
      </c>
      <c r="P133" s="388"/>
      <c r="R133" s="392"/>
      <c r="T133" s="403"/>
    </row>
    <row r="134" spans="1:21" x14ac:dyDescent="0.2">
      <c r="A134" s="374">
        <v>20</v>
      </c>
      <c r="B134" s="622">
        <v>0.258913</v>
      </c>
      <c r="C134" s="623">
        <v>0.25504300000000002</v>
      </c>
      <c r="D134" s="624">
        <v>0.25499300000000003</v>
      </c>
      <c r="E134" s="625">
        <v>7.9237000000000002E-2</v>
      </c>
      <c r="F134" s="623">
        <v>7.0937E-2</v>
      </c>
      <c r="G134" s="626">
        <v>6.2992000000000006E-2</v>
      </c>
      <c r="H134" s="252"/>
      <c r="I134" s="374">
        <v>20</v>
      </c>
      <c r="J134" s="622">
        <v>0.25536599999999998</v>
      </c>
      <c r="K134" s="623">
        <v>0.25276999999999999</v>
      </c>
      <c r="L134" s="624">
        <v>0.25466299999999997</v>
      </c>
      <c r="M134" s="625">
        <v>7.9053999999999999E-2</v>
      </c>
      <c r="N134" s="623">
        <v>7.0110000000000006E-2</v>
      </c>
      <c r="O134" s="626">
        <v>6.2714000000000006E-2</v>
      </c>
      <c r="P134" s="388"/>
      <c r="R134" s="392"/>
      <c r="T134" s="403"/>
    </row>
    <row r="135" spans="1:21" x14ac:dyDescent="0.2">
      <c r="A135" s="374">
        <v>21</v>
      </c>
      <c r="B135" s="622">
        <v>0.11442099999999999</v>
      </c>
      <c r="C135" s="623">
        <v>0.105291</v>
      </c>
      <c r="D135" s="624">
        <v>0.103074</v>
      </c>
      <c r="E135" s="625">
        <v>7.3535000000000003E-2</v>
      </c>
      <c r="F135" s="623">
        <v>6.7515000000000006E-2</v>
      </c>
      <c r="G135" s="626">
        <v>6.4735000000000001E-2</v>
      </c>
      <c r="H135" s="252"/>
      <c r="I135" s="374">
        <v>21</v>
      </c>
      <c r="J135" s="622">
        <v>0.121367</v>
      </c>
      <c r="K135" s="623">
        <v>0.112321</v>
      </c>
      <c r="L135" s="624">
        <v>0.109141</v>
      </c>
      <c r="M135" s="625">
        <v>7.5725000000000001E-2</v>
      </c>
      <c r="N135" s="623">
        <v>6.8706000000000003E-2</v>
      </c>
      <c r="O135" s="626">
        <v>6.6806000000000004E-2</v>
      </c>
      <c r="P135" s="388"/>
      <c r="R135" s="392"/>
      <c r="T135" s="403"/>
    </row>
    <row r="136" spans="1:21" x14ac:dyDescent="0.2">
      <c r="A136" s="374">
        <v>22</v>
      </c>
      <c r="B136" s="622">
        <v>8.0181000000000002E-2</v>
      </c>
      <c r="C136" s="623">
        <v>7.3248999999999995E-2</v>
      </c>
      <c r="D136" s="624">
        <v>6.9827E-2</v>
      </c>
      <c r="E136" s="625">
        <v>8.1268999999999994E-2</v>
      </c>
      <c r="F136" s="623">
        <v>8.0639000000000002E-2</v>
      </c>
      <c r="G136" s="626">
        <v>7.9979999999999996E-2</v>
      </c>
      <c r="H136" s="252"/>
      <c r="I136" s="374">
        <v>22</v>
      </c>
      <c r="J136" s="622">
        <v>8.1558000000000005E-2</v>
      </c>
      <c r="K136" s="623">
        <v>7.5525999999999996E-2</v>
      </c>
      <c r="L136" s="624">
        <v>7.1123000000000006E-2</v>
      </c>
      <c r="M136" s="625">
        <v>8.0141000000000004E-2</v>
      </c>
      <c r="N136" s="623">
        <v>7.8660999999999995E-2</v>
      </c>
      <c r="O136" s="626">
        <v>7.7417E-2</v>
      </c>
      <c r="P136" s="388"/>
      <c r="R136" s="392"/>
      <c r="T136" s="403"/>
    </row>
    <row r="137" spans="1:21" x14ac:dyDescent="0.2">
      <c r="A137" s="374">
        <v>23</v>
      </c>
      <c r="B137" s="622">
        <v>4.7744000000000002E-2</v>
      </c>
      <c r="C137" s="623">
        <v>4.3145999999999997E-2</v>
      </c>
      <c r="D137" s="624">
        <v>4.0834000000000002E-2</v>
      </c>
      <c r="E137" s="625">
        <v>7.1917999999999996E-2</v>
      </c>
      <c r="F137" s="623">
        <v>7.1662000000000003E-2</v>
      </c>
      <c r="G137" s="626">
        <v>7.1351999999999999E-2</v>
      </c>
      <c r="H137" s="252"/>
      <c r="I137" s="374">
        <v>23</v>
      </c>
      <c r="J137" s="622">
        <v>5.5384000000000003E-2</v>
      </c>
      <c r="K137" s="623">
        <v>4.9414E-2</v>
      </c>
      <c r="L137" s="624">
        <v>4.6532999999999998E-2</v>
      </c>
      <c r="M137" s="625">
        <v>7.9519999999999993E-2</v>
      </c>
      <c r="N137" s="623">
        <v>7.9809000000000005E-2</v>
      </c>
      <c r="O137" s="626">
        <v>7.9558000000000004E-2</v>
      </c>
      <c r="P137" s="388"/>
      <c r="R137" s="392"/>
      <c r="T137" s="403"/>
    </row>
    <row r="138" spans="1:21" x14ac:dyDescent="0.2">
      <c r="A138" s="374">
        <v>24</v>
      </c>
      <c r="B138" s="622">
        <v>3.0522000000000001E-2</v>
      </c>
      <c r="C138" s="623">
        <v>2.767E-2</v>
      </c>
      <c r="D138" s="624">
        <v>2.5694000000000002E-2</v>
      </c>
      <c r="E138" s="625">
        <v>6.7624000000000004E-2</v>
      </c>
      <c r="F138" s="623">
        <v>6.7595000000000002E-2</v>
      </c>
      <c r="G138" s="626">
        <v>6.8446000000000007E-2</v>
      </c>
      <c r="H138" s="252"/>
      <c r="I138" s="374">
        <v>24</v>
      </c>
      <c r="J138" s="622">
        <v>3.2780999999999998E-2</v>
      </c>
      <c r="K138" s="623">
        <v>3.1382E-2</v>
      </c>
      <c r="L138" s="624">
        <v>2.9725000000000001E-2</v>
      </c>
      <c r="M138" s="625">
        <v>6.3585000000000003E-2</v>
      </c>
      <c r="N138" s="623">
        <v>6.5089999999999995E-2</v>
      </c>
      <c r="O138" s="626">
        <v>6.4142000000000005E-2</v>
      </c>
      <c r="P138" s="388"/>
      <c r="R138" s="392"/>
      <c r="T138" s="403"/>
    </row>
    <row r="139" spans="1:21" x14ac:dyDescent="0.2">
      <c r="A139" s="374">
        <v>25</v>
      </c>
      <c r="B139" s="622">
        <v>1.6556000000000001E-2</v>
      </c>
      <c r="C139" s="623">
        <v>1.4357999999999999E-2</v>
      </c>
      <c r="D139" s="624">
        <v>1.3546000000000001E-2</v>
      </c>
      <c r="E139" s="625">
        <v>5.4695000000000001E-2</v>
      </c>
      <c r="F139" s="623">
        <v>5.7450000000000001E-2</v>
      </c>
      <c r="G139" s="626">
        <v>5.7537999999999999E-2</v>
      </c>
      <c r="H139" s="252"/>
      <c r="I139" s="374">
        <v>25</v>
      </c>
      <c r="J139" s="622">
        <v>1.7742000000000001E-2</v>
      </c>
      <c r="K139" s="623">
        <v>1.6476999999999999E-2</v>
      </c>
      <c r="L139" s="624">
        <v>1.5426E-2</v>
      </c>
      <c r="M139" s="625">
        <v>5.5306000000000001E-2</v>
      </c>
      <c r="N139" s="623">
        <v>5.6155999999999998E-2</v>
      </c>
      <c r="O139" s="626">
        <v>5.7147000000000003E-2</v>
      </c>
      <c r="P139" s="388"/>
      <c r="R139" s="392"/>
      <c r="T139" s="403"/>
    </row>
    <row r="140" spans="1:21" x14ac:dyDescent="0.2">
      <c r="A140" s="374">
        <v>26</v>
      </c>
      <c r="B140" s="622">
        <v>6.4099999999999999E-3</v>
      </c>
      <c r="C140" s="623">
        <v>4.4140000000000004E-3</v>
      </c>
      <c r="D140" s="624">
        <v>4.058E-3</v>
      </c>
      <c r="E140" s="625">
        <v>4.4882999999999999E-2</v>
      </c>
      <c r="F140" s="623">
        <v>4.4406000000000001E-2</v>
      </c>
      <c r="G140" s="626">
        <v>4.5154E-2</v>
      </c>
      <c r="H140" s="252"/>
      <c r="I140" s="374">
        <v>26</v>
      </c>
      <c r="J140" s="622">
        <v>6.8690000000000001E-3</v>
      </c>
      <c r="K140" s="623">
        <v>5.032E-3</v>
      </c>
      <c r="L140" s="624">
        <v>4.744E-3</v>
      </c>
      <c r="M140" s="625">
        <v>4.2701000000000003E-2</v>
      </c>
      <c r="N140" s="623">
        <v>4.3478000000000003E-2</v>
      </c>
      <c r="O140" s="626">
        <v>4.3776000000000002E-2</v>
      </c>
      <c r="P140" s="388"/>
      <c r="R140" s="392"/>
      <c r="T140" s="403"/>
    </row>
    <row r="141" spans="1:21" x14ac:dyDescent="0.2">
      <c r="A141" s="374">
        <v>27</v>
      </c>
      <c r="B141" s="622">
        <v>4.4539999999999996E-3</v>
      </c>
      <c r="C141" s="623">
        <v>3.0699999999999998E-3</v>
      </c>
      <c r="D141" s="624">
        <v>2.957E-3</v>
      </c>
      <c r="E141" s="625">
        <v>3.9064000000000002E-2</v>
      </c>
      <c r="F141" s="623">
        <v>3.8488000000000001E-2</v>
      </c>
      <c r="G141" s="626">
        <v>3.9744000000000002E-2</v>
      </c>
      <c r="H141" s="252"/>
      <c r="I141" s="374">
        <v>27</v>
      </c>
      <c r="J141" s="622">
        <v>4.5069999999999997E-3</v>
      </c>
      <c r="K141" s="623">
        <v>2.81E-3</v>
      </c>
      <c r="L141" s="624">
        <v>2.5249999999999999E-3</v>
      </c>
      <c r="M141" s="625">
        <v>3.8462000000000003E-2</v>
      </c>
      <c r="N141" s="623">
        <v>3.9267000000000003E-2</v>
      </c>
      <c r="O141" s="626">
        <v>3.9921999999999999E-2</v>
      </c>
      <c r="P141" s="388"/>
      <c r="R141" s="392"/>
      <c r="T141" s="403"/>
    </row>
    <row r="142" spans="1:21" x14ac:dyDescent="0.2">
      <c r="A142" s="374">
        <v>28</v>
      </c>
      <c r="B142" s="622">
        <v>3.532E-3</v>
      </c>
      <c r="C142" s="623">
        <v>1.9949999999999998E-3</v>
      </c>
      <c r="D142" s="624">
        <v>1.8710000000000001E-3</v>
      </c>
      <c r="E142" s="625">
        <v>3.5231999999999999E-2</v>
      </c>
      <c r="F142" s="623">
        <v>3.6957999999999998E-2</v>
      </c>
      <c r="G142" s="626">
        <v>3.8135000000000002E-2</v>
      </c>
      <c r="H142" s="252"/>
      <c r="I142" s="374">
        <v>28</v>
      </c>
      <c r="J142" s="622">
        <v>3.64E-3</v>
      </c>
      <c r="K142" s="623">
        <v>2.2539999999999999E-3</v>
      </c>
      <c r="L142" s="624">
        <v>2.0990000000000002E-3</v>
      </c>
      <c r="M142" s="625">
        <v>3.4244999999999998E-2</v>
      </c>
      <c r="N142" s="623">
        <v>3.3480999999999997E-2</v>
      </c>
      <c r="O142" s="626">
        <v>3.3451000000000002E-2</v>
      </c>
      <c r="P142" s="388"/>
      <c r="R142" s="392"/>
      <c r="T142" s="403"/>
    </row>
    <row r="143" spans="1:21" x14ac:dyDescent="0.2">
      <c r="A143" s="374">
        <v>29</v>
      </c>
      <c r="B143" s="622">
        <v>2.539E-3</v>
      </c>
      <c r="C143" s="623">
        <v>1.485E-3</v>
      </c>
      <c r="D143" s="624">
        <v>1.508E-3</v>
      </c>
      <c r="E143" s="625">
        <v>3.1099000000000002E-2</v>
      </c>
      <c r="F143" s="623">
        <v>3.2127000000000003E-2</v>
      </c>
      <c r="G143" s="626">
        <v>3.3485000000000001E-2</v>
      </c>
      <c r="H143" s="252"/>
      <c r="I143" s="374">
        <v>29</v>
      </c>
      <c r="J143" s="622">
        <v>2.807E-3</v>
      </c>
      <c r="K143" s="623">
        <v>1.4760000000000001E-3</v>
      </c>
      <c r="L143" s="624">
        <v>1.4159999999999999E-3</v>
      </c>
      <c r="M143" s="625">
        <v>3.0072000000000002E-2</v>
      </c>
      <c r="N143" s="623">
        <v>3.0672999999999999E-2</v>
      </c>
      <c r="O143" s="626">
        <v>3.1642999999999998E-2</v>
      </c>
      <c r="P143" s="252"/>
      <c r="Q143" s="388"/>
    </row>
    <row r="144" spans="1:21" x14ac:dyDescent="0.2">
      <c r="A144" s="377" t="s">
        <v>100</v>
      </c>
      <c r="B144" s="627">
        <v>1.7836000000000001E-2</v>
      </c>
      <c r="C144" s="628">
        <v>1.027E-2</v>
      </c>
      <c r="D144" s="629">
        <v>9.8499999999999994E-3</v>
      </c>
      <c r="E144" s="630">
        <v>0.35758299999999998</v>
      </c>
      <c r="F144" s="628">
        <v>0.38177899999999998</v>
      </c>
      <c r="G144" s="631">
        <v>0.39954400000000001</v>
      </c>
      <c r="H144" s="252"/>
      <c r="I144" s="377" t="s">
        <v>100</v>
      </c>
      <c r="J144" s="627">
        <v>2.0754999999999999E-2</v>
      </c>
      <c r="K144" s="628">
        <v>1.2826000000000001E-2</v>
      </c>
      <c r="L144" s="629">
        <v>1.2081E-2</v>
      </c>
      <c r="M144" s="630">
        <v>0.36486299999999999</v>
      </c>
      <c r="N144" s="628">
        <v>0.38841100000000001</v>
      </c>
      <c r="O144" s="631">
        <v>0.40664299999999998</v>
      </c>
      <c r="P144" s="252"/>
      <c r="Q144" s="388"/>
    </row>
    <row r="145" spans="1:17" ht="13.5" thickBot="1" x14ac:dyDescent="0.25">
      <c r="A145" s="378" t="s">
        <v>34</v>
      </c>
      <c r="B145" s="632">
        <v>20.61</v>
      </c>
      <c r="C145" s="633">
        <v>20.350000000000001</v>
      </c>
      <c r="D145" s="634">
        <v>20.3</v>
      </c>
      <c r="E145" s="635">
        <v>28.28</v>
      </c>
      <c r="F145" s="633">
        <v>28.78</v>
      </c>
      <c r="G145" s="636">
        <v>29.16</v>
      </c>
      <c r="H145" s="252"/>
      <c r="I145" s="378" t="s">
        <v>34</v>
      </c>
      <c r="J145" s="632">
        <v>20.753799999999998</v>
      </c>
      <c r="K145" s="633">
        <v>20.4863</v>
      </c>
      <c r="L145" s="647">
        <v>20.422799999999999</v>
      </c>
      <c r="M145" s="635">
        <v>28.623999999999999</v>
      </c>
      <c r="N145" s="633">
        <v>29.043199999999999</v>
      </c>
      <c r="O145" s="636">
        <v>29.411999999999999</v>
      </c>
      <c r="P145" s="252"/>
      <c r="Q145" s="388"/>
    </row>
    <row r="146" spans="1:17" ht="13.5" thickTop="1" x14ac:dyDescent="0.2">
      <c r="A146" s="252"/>
      <c r="B146" s="252"/>
      <c r="C146" s="252"/>
      <c r="D146" s="252"/>
      <c r="E146" s="385"/>
      <c r="F146" s="385"/>
      <c r="G146" s="252"/>
      <c r="H146" s="252"/>
      <c r="I146" s="386"/>
      <c r="J146" s="252"/>
      <c r="K146" s="252"/>
      <c r="L146" s="252"/>
      <c r="M146" s="385"/>
      <c r="N146" s="385"/>
      <c r="O146" s="252"/>
      <c r="P146" s="252"/>
    </row>
    <row r="147" spans="1:17" ht="13.5" thickBot="1" x14ac:dyDescent="0.25">
      <c r="A147" s="717" t="s">
        <v>544</v>
      </c>
      <c r="B147" s="718"/>
      <c r="C147" s="718"/>
      <c r="D147" s="718"/>
      <c r="E147" s="718"/>
      <c r="F147" s="718"/>
      <c r="G147" s="718"/>
      <c r="H147" s="252"/>
      <c r="I147" s="717" t="s">
        <v>551</v>
      </c>
      <c r="J147" s="718"/>
      <c r="K147" s="718"/>
      <c r="L147" s="718"/>
      <c r="M147" s="718"/>
      <c r="N147" s="718"/>
      <c r="O147" s="718"/>
      <c r="P147" s="252"/>
    </row>
    <row r="148" spans="1:17" ht="39" thickTop="1" x14ac:dyDescent="0.2">
      <c r="A148" s="360" t="s">
        <v>550</v>
      </c>
      <c r="B148" s="361" t="s">
        <v>94</v>
      </c>
      <c r="C148" s="362" t="s">
        <v>95</v>
      </c>
      <c r="D148" s="363" t="s">
        <v>96</v>
      </c>
      <c r="E148" s="364" t="s">
        <v>94</v>
      </c>
      <c r="F148" s="362" t="s">
        <v>95</v>
      </c>
      <c r="G148" s="365" t="s">
        <v>96</v>
      </c>
      <c r="H148" s="252"/>
      <c r="I148" s="360" t="s">
        <v>552</v>
      </c>
      <c r="J148" s="361" t="s">
        <v>94</v>
      </c>
      <c r="K148" s="362" t="s">
        <v>95</v>
      </c>
      <c r="L148" s="363" t="s">
        <v>96</v>
      </c>
      <c r="M148" s="364" t="s">
        <v>94</v>
      </c>
      <c r="N148" s="362" t="s">
        <v>95</v>
      </c>
      <c r="O148" s="365" t="s">
        <v>96</v>
      </c>
      <c r="P148" s="252"/>
    </row>
    <row r="149" spans="1:17" ht="13.5" thickBot="1" x14ac:dyDescent="0.25">
      <c r="A149" s="366"/>
      <c r="B149" s="367" t="s">
        <v>98</v>
      </c>
      <c r="C149" s="368"/>
      <c r="D149" s="369"/>
      <c r="E149" s="370" t="s">
        <v>99</v>
      </c>
      <c r="F149" s="368"/>
      <c r="G149" s="371"/>
      <c r="H149" s="252"/>
      <c r="I149" s="366"/>
      <c r="J149" s="367" t="s">
        <v>98</v>
      </c>
      <c r="K149" s="368"/>
      <c r="L149" s="369"/>
      <c r="M149" s="370" t="s">
        <v>99</v>
      </c>
      <c r="N149" s="368"/>
      <c r="O149" s="371"/>
      <c r="P149" s="252"/>
      <c r="Q149" s="6"/>
    </row>
    <row r="150" spans="1:17" ht="13.5" thickTop="1" x14ac:dyDescent="0.2">
      <c r="A150" s="372">
        <v>18</v>
      </c>
      <c r="B150" s="617">
        <v>5.0000000000000001E-3</v>
      </c>
      <c r="C150" s="618">
        <v>5.3E-3</v>
      </c>
      <c r="D150" s="619">
        <v>5.4000000000000003E-3</v>
      </c>
      <c r="E150" s="620">
        <v>5.0000000000000001E-3</v>
      </c>
      <c r="F150" s="618">
        <v>3.0000000000000001E-3</v>
      </c>
      <c r="G150" s="621">
        <v>2.0000000000000001E-4</v>
      </c>
      <c r="H150" s="252"/>
      <c r="I150" s="372">
        <v>18</v>
      </c>
      <c r="J150" s="617">
        <v>5.5343713589662115E-3</v>
      </c>
      <c r="K150" s="618">
        <v>5.5407125822589613E-3</v>
      </c>
      <c r="L150" s="619">
        <v>5.5267769454447422E-3</v>
      </c>
      <c r="M150" s="620">
        <v>1.0237637277408947E-3</v>
      </c>
      <c r="N150" s="618">
        <v>9.2755321226322979E-4</v>
      </c>
      <c r="O150" s="621">
        <v>5.4489973844812551E-4</v>
      </c>
      <c r="P150" s="252"/>
      <c r="Q150" s="6"/>
    </row>
    <row r="151" spans="1:17" x14ac:dyDescent="0.2">
      <c r="A151" s="374">
        <v>19</v>
      </c>
      <c r="B151" s="622">
        <v>0.40089999999999998</v>
      </c>
      <c r="C151" s="623">
        <v>0.44059999999999999</v>
      </c>
      <c r="D151" s="624">
        <v>0.4541</v>
      </c>
      <c r="E151" s="625">
        <v>5.8900000000000001E-2</v>
      </c>
      <c r="F151" s="623">
        <v>4.4200000000000003E-2</v>
      </c>
      <c r="G151" s="626">
        <v>3.5499999999999997E-2</v>
      </c>
      <c r="H151" s="252"/>
      <c r="I151" s="374">
        <v>19</v>
      </c>
      <c r="J151" s="622">
        <v>0.42549782861984958</v>
      </c>
      <c r="K151" s="623">
        <v>0.46540192580107226</v>
      </c>
      <c r="L151" s="624">
        <v>0.47896165918850736</v>
      </c>
      <c r="M151" s="625">
        <v>6.1736055097102435E-2</v>
      </c>
      <c r="N151" s="623">
        <v>4.8916227299355595E-2</v>
      </c>
      <c r="O151" s="626">
        <v>3.9341761115954665E-2</v>
      </c>
      <c r="P151" s="252"/>
      <c r="Q151" s="6"/>
    </row>
    <row r="152" spans="1:17" x14ac:dyDescent="0.2">
      <c r="A152" s="374">
        <v>20</v>
      </c>
      <c r="B152" s="622">
        <v>0.2422</v>
      </c>
      <c r="C152" s="623">
        <v>0.2402</v>
      </c>
      <c r="D152" s="624">
        <v>0.24099999999999999</v>
      </c>
      <c r="E152" s="625">
        <v>7.3200000000000001E-2</v>
      </c>
      <c r="F152" s="623">
        <v>6.2700000000000006E-2</v>
      </c>
      <c r="G152" s="626">
        <v>5.7099999999999998E-2</v>
      </c>
      <c r="H152" s="252"/>
      <c r="I152" s="374">
        <v>20</v>
      </c>
      <c r="J152" s="622">
        <v>0.24173816333015571</v>
      </c>
      <c r="K152" s="623">
        <v>0.24104789399128548</v>
      </c>
      <c r="L152" s="624">
        <v>0.24204201891043539</v>
      </c>
      <c r="M152" s="625">
        <v>7.7061487869950984E-2</v>
      </c>
      <c r="N152" s="623">
        <v>6.7857840265573136E-2</v>
      </c>
      <c r="O152" s="626">
        <v>6.2118570183086315E-2</v>
      </c>
      <c r="P152" s="252"/>
      <c r="Q152" s="6"/>
    </row>
    <row r="153" spans="1:17" x14ac:dyDescent="0.2">
      <c r="A153" s="374">
        <v>21</v>
      </c>
      <c r="B153" s="622">
        <v>0.1197</v>
      </c>
      <c r="C153" s="623">
        <v>0.1124</v>
      </c>
      <c r="D153" s="624">
        <v>0.10879999999999999</v>
      </c>
      <c r="E153" s="625">
        <v>7.6300000000000007E-2</v>
      </c>
      <c r="F153" s="623">
        <v>6.9800000000000001E-2</v>
      </c>
      <c r="G153" s="626">
        <v>6.93E-2</v>
      </c>
      <c r="H153" s="252"/>
      <c r="I153" s="374">
        <v>21</v>
      </c>
      <c r="J153" s="622">
        <v>0.11107139074250609</v>
      </c>
      <c r="K153" s="623">
        <v>0.10227904391328516</v>
      </c>
      <c r="L153" s="624">
        <v>9.9347185580311581E-2</v>
      </c>
      <c r="M153" s="625">
        <v>7.0980951790035371E-2</v>
      </c>
      <c r="N153" s="623">
        <v>6.9127123608670182E-2</v>
      </c>
      <c r="O153" s="626">
        <v>6.7840017436791633E-2</v>
      </c>
      <c r="P153" s="252"/>
      <c r="Q153" s="6"/>
    </row>
    <row r="154" spans="1:17" x14ac:dyDescent="0.2">
      <c r="A154" s="374">
        <v>22</v>
      </c>
      <c r="B154" s="622">
        <v>8.5099999999999995E-2</v>
      </c>
      <c r="C154" s="623">
        <v>7.9100000000000004E-2</v>
      </c>
      <c r="D154" s="624">
        <v>7.5499999999999998E-2</v>
      </c>
      <c r="E154" s="625">
        <v>8.09E-2</v>
      </c>
      <c r="F154" s="623">
        <v>7.9399999999999998E-2</v>
      </c>
      <c r="G154" s="626">
        <v>8.0399999999999999E-2</v>
      </c>
      <c r="H154" s="252"/>
      <c r="I154" s="374">
        <v>22</v>
      </c>
      <c r="J154" s="622">
        <v>7.745471877979028E-2</v>
      </c>
      <c r="K154" s="623">
        <v>7.1025121483261316E-2</v>
      </c>
      <c r="L154" s="624">
        <v>6.6744978720945911E-2</v>
      </c>
      <c r="M154" s="625">
        <v>8.2490537941304218E-2</v>
      </c>
      <c r="N154" s="623">
        <v>8.4456160906073038E-2</v>
      </c>
      <c r="O154" s="626">
        <v>8.4023539668700964E-2</v>
      </c>
      <c r="P154" s="252"/>
      <c r="Q154" s="6"/>
    </row>
    <row r="155" spans="1:17" x14ac:dyDescent="0.2">
      <c r="A155" s="374">
        <v>23</v>
      </c>
      <c r="B155" s="622">
        <v>5.2999999999999999E-2</v>
      </c>
      <c r="C155" s="623">
        <v>4.8599999999999997E-2</v>
      </c>
      <c r="D155" s="624">
        <v>4.6100000000000002E-2</v>
      </c>
      <c r="E155" s="625">
        <v>7.9399999999999998E-2</v>
      </c>
      <c r="F155" s="623">
        <v>8.1100000000000005E-2</v>
      </c>
      <c r="G155" s="626">
        <v>8.1600000000000006E-2</v>
      </c>
      <c r="H155" s="252"/>
      <c r="I155" s="374">
        <v>23</v>
      </c>
      <c r="J155" s="622">
        <v>5.0325707022561172E-2</v>
      </c>
      <c r="K155" s="623">
        <v>4.5060876113970125E-2</v>
      </c>
      <c r="L155" s="624">
        <v>4.2846964124092508E-2</v>
      </c>
      <c r="M155" s="625">
        <v>8.4227833964137244E-2</v>
      </c>
      <c r="N155" s="623">
        <v>8.60671743800039E-2</v>
      </c>
      <c r="O155" s="626">
        <v>8.5222319093286841E-2</v>
      </c>
      <c r="P155" s="252"/>
      <c r="Q155" s="6"/>
    </row>
    <row r="156" spans="1:17" x14ac:dyDescent="0.2">
      <c r="A156" s="374">
        <v>24</v>
      </c>
      <c r="B156" s="622">
        <v>3.5499999999999997E-2</v>
      </c>
      <c r="C156" s="623">
        <v>3.3700000000000001E-2</v>
      </c>
      <c r="D156" s="624">
        <v>3.1800000000000002E-2</v>
      </c>
      <c r="E156" s="625">
        <v>7.1400000000000005E-2</v>
      </c>
      <c r="F156" s="623">
        <v>7.2700000000000001E-2</v>
      </c>
      <c r="G156" s="626">
        <v>7.2300000000000003E-2</v>
      </c>
      <c r="H156" s="252"/>
      <c r="I156" s="374">
        <v>24</v>
      </c>
      <c r="J156" s="622">
        <v>3.2451541150301876E-2</v>
      </c>
      <c r="K156" s="623">
        <v>2.9693915974824722E-2</v>
      </c>
      <c r="L156" s="624">
        <v>2.7653141789751392E-2</v>
      </c>
      <c r="M156" s="625">
        <v>7.1570391512067996E-2</v>
      </c>
      <c r="N156" s="623">
        <v>7.2934973637961337E-2</v>
      </c>
      <c r="O156" s="626">
        <v>7.3779424585876205E-2</v>
      </c>
      <c r="P156" s="252"/>
      <c r="Q156" s="6"/>
    </row>
    <row r="157" spans="1:17" x14ac:dyDescent="0.2">
      <c r="A157" s="374">
        <v>25</v>
      </c>
      <c r="B157" s="622">
        <v>1.84E-2</v>
      </c>
      <c r="C157" s="623">
        <v>1.6899999999999998E-2</v>
      </c>
      <c r="D157" s="624">
        <v>1.5800000000000002E-2</v>
      </c>
      <c r="E157" s="625">
        <v>5.5899999999999998E-2</v>
      </c>
      <c r="F157" s="623">
        <v>5.6899999999999999E-2</v>
      </c>
      <c r="G157" s="626">
        <v>5.6500000000000002E-2</v>
      </c>
      <c r="H157" s="252"/>
      <c r="I157" s="374">
        <v>25</v>
      </c>
      <c r="J157" s="622">
        <v>1.9145217667619955E-2</v>
      </c>
      <c r="K157" s="623">
        <v>1.735731320267532E-2</v>
      </c>
      <c r="L157" s="624">
        <v>1.6137418398197538E-2</v>
      </c>
      <c r="M157" s="625">
        <v>5.7361791896754978E-2</v>
      </c>
      <c r="N157" s="623">
        <v>5.828939660222613E-2</v>
      </c>
      <c r="O157" s="626">
        <v>5.9230601569311245E-2</v>
      </c>
      <c r="P157" s="252"/>
      <c r="Q157" s="6"/>
    </row>
    <row r="158" spans="1:17" x14ac:dyDescent="0.2">
      <c r="A158" s="374">
        <v>26</v>
      </c>
      <c r="B158" s="622">
        <v>7.1000000000000004E-3</v>
      </c>
      <c r="C158" s="623">
        <v>5.1999999999999998E-3</v>
      </c>
      <c r="D158" s="624">
        <v>4.7999999999999996E-3</v>
      </c>
      <c r="E158" s="625">
        <v>4.3900000000000002E-2</v>
      </c>
      <c r="F158" s="623">
        <v>4.4600000000000001E-2</v>
      </c>
      <c r="G158" s="626">
        <v>4.53E-2</v>
      </c>
      <c r="H158" s="252"/>
      <c r="I158" s="374">
        <v>26</v>
      </c>
      <c r="J158" s="622">
        <v>6.580341065565088E-3</v>
      </c>
      <c r="K158" s="623">
        <v>4.608294930875576E-3</v>
      </c>
      <c r="L158" s="624">
        <v>4.1210113809239538E-3</v>
      </c>
      <c r="M158" s="625">
        <v>4.3928770863063848E-2</v>
      </c>
      <c r="N158" s="623">
        <v>4.3448545206014454E-2</v>
      </c>
      <c r="O158" s="626">
        <v>4.3809938971229291E-2</v>
      </c>
      <c r="P158" s="252"/>
      <c r="Q158" s="6"/>
    </row>
    <row r="159" spans="1:17" x14ac:dyDescent="0.2">
      <c r="A159" s="374">
        <v>27</v>
      </c>
      <c r="B159" s="622">
        <v>4.7999999999999996E-3</v>
      </c>
      <c r="C159" s="623">
        <v>3.0000000000000001E-3</v>
      </c>
      <c r="D159" s="624">
        <v>2.8E-3</v>
      </c>
      <c r="E159" s="625">
        <v>3.7499999999999999E-2</v>
      </c>
      <c r="F159" s="623">
        <v>3.9199999999999999E-2</v>
      </c>
      <c r="G159" s="626">
        <v>3.8800000000000001E-2</v>
      </c>
      <c r="H159" s="252"/>
      <c r="I159" s="374">
        <v>27</v>
      </c>
      <c r="J159" s="622">
        <v>4.8723652155492E-3</v>
      </c>
      <c r="K159" s="623">
        <v>2.8869084975524035E-3</v>
      </c>
      <c r="L159" s="624">
        <v>2.6767316913478018E-3</v>
      </c>
      <c r="M159" s="625">
        <v>3.840665136191599E-2</v>
      </c>
      <c r="N159" s="623">
        <v>3.8566686194102716E-2</v>
      </c>
      <c r="O159" s="626">
        <v>3.8578901482127288E-2</v>
      </c>
      <c r="P159" s="252"/>
      <c r="Q159" s="6"/>
    </row>
    <row r="160" spans="1:17" x14ac:dyDescent="0.2">
      <c r="A160" s="374">
        <v>28</v>
      </c>
      <c r="B160" s="622">
        <v>3.8E-3</v>
      </c>
      <c r="C160" s="623">
        <v>2.3E-3</v>
      </c>
      <c r="D160" s="624">
        <v>2.0999999999999999E-3</v>
      </c>
      <c r="E160" s="625">
        <v>3.3700000000000001E-2</v>
      </c>
      <c r="F160" s="623">
        <v>3.39E-2</v>
      </c>
      <c r="G160" s="626">
        <v>3.39E-2</v>
      </c>
      <c r="H160" s="252"/>
      <c r="I160" s="374">
        <v>28</v>
      </c>
      <c r="J160" s="622">
        <v>3.4027115771634361E-3</v>
      </c>
      <c r="K160" s="623">
        <v>2.2951819110975632E-3</v>
      </c>
      <c r="L160" s="624">
        <v>2.1567910031003871E-3</v>
      </c>
      <c r="M160" s="625">
        <v>2.9999379537134701E-2</v>
      </c>
      <c r="N160" s="623">
        <v>3.0462800234329231E-2</v>
      </c>
      <c r="O160" s="626">
        <v>3.0950305143853531E-2</v>
      </c>
      <c r="P160" s="252"/>
      <c r="Q160" s="6"/>
    </row>
    <row r="161" spans="1:15" x14ac:dyDescent="0.2">
      <c r="A161" s="374">
        <v>29</v>
      </c>
      <c r="B161" s="622">
        <v>2.8E-3</v>
      </c>
      <c r="C161" s="623">
        <v>1.6000000000000001E-3</v>
      </c>
      <c r="D161" s="624">
        <v>1.5E-3</v>
      </c>
      <c r="E161" s="625">
        <v>3.0300000000000001E-2</v>
      </c>
      <c r="F161" s="623">
        <v>3.1300000000000001E-2</v>
      </c>
      <c r="G161" s="626">
        <v>3.1300000000000001E-2</v>
      </c>
      <c r="H161" s="252"/>
      <c r="I161" s="374">
        <v>29</v>
      </c>
      <c r="J161" s="622">
        <v>2.7009850651414044E-3</v>
      </c>
      <c r="K161" s="623">
        <v>1.6137997812404742E-3</v>
      </c>
      <c r="L161" s="624">
        <v>1.367251439465424E-3</v>
      </c>
      <c r="M161" s="625">
        <v>3.1178258981199976E-2</v>
      </c>
      <c r="N161" s="623">
        <v>3.1195079086115993E-2</v>
      </c>
      <c r="O161" s="626">
        <v>3.1113775065387969E-2</v>
      </c>
    </row>
    <row r="162" spans="1:15" x14ac:dyDescent="0.2">
      <c r="A162" s="377" t="s">
        <v>100</v>
      </c>
      <c r="B162" s="627">
        <v>1.9599999999999999E-2</v>
      </c>
      <c r="C162" s="628">
        <v>1.11E-2</v>
      </c>
      <c r="D162" s="629">
        <v>1.04E-2</v>
      </c>
      <c r="E162" s="630">
        <v>0.35809999999999997</v>
      </c>
      <c r="F162" s="628">
        <v>0.38400000000000001</v>
      </c>
      <c r="G162" s="631">
        <v>0.39750000000000002</v>
      </c>
      <c r="H162" s="252"/>
      <c r="I162" s="377" t="s">
        <v>100</v>
      </c>
      <c r="J162" s="627">
        <v>1.9224658404829998E-2</v>
      </c>
      <c r="K162" s="628">
        <v>1.1117287381878822E-2</v>
      </c>
      <c r="L162" s="629">
        <v>1.0418070827475976E-2</v>
      </c>
      <c r="M162" s="630">
        <v>0.35003412545759138</v>
      </c>
      <c r="N162" s="628">
        <v>0.36775043936731105</v>
      </c>
      <c r="O162" s="631">
        <v>0.38344594594594594</v>
      </c>
    </row>
    <row r="163" spans="1:15" ht="13.5" thickBot="1" x14ac:dyDescent="0.25">
      <c r="A163" s="378" t="s">
        <v>34</v>
      </c>
      <c r="B163" s="632">
        <v>20.732900000000001</v>
      </c>
      <c r="C163" s="379">
        <v>20.459</v>
      </c>
      <c r="D163" s="634">
        <v>20.396699999999999</v>
      </c>
      <c r="E163" s="635">
        <v>28.454000000000001</v>
      </c>
      <c r="F163" s="633">
        <v>29.016200000000001</v>
      </c>
      <c r="G163" s="380">
        <v>29.270099999999999</v>
      </c>
      <c r="H163" s="252"/>
      <c r="I163" s="378" t="s">
        <v>34</v>
      </c>
      <c r="J163" s="632">
        <v>20.658899999999999</v>
      </c>
      <c r="K163" s="633">
        <v>20.382999999999999</v>
      </c>
      <c r="L163" s="634">
        <v>20.319800000000001</v>
      </c>
      <c r="M163" s="635">
        <v>28.387499999999999</v>
      </c>
      <c r="N163" s="633">
        <v>28.8126</v>
      </c>
      <c r="O163" s="636">
        <v>29.139600000000002</v>
      </c>
    </row>
    <row r="164" spans="1:15" ht="13.5" thickTop="1" x14ac:dyDescent="0.2">
      <c r="A164" s="252"/>
      <c r="B164" s="252"/>
      <c r="C164" s="252"/>
      <c r="D164" s="252"/>
      <c r="E164" s="385"/>
      <c r="F164" s="385"/>
      <c r="G164" s="252"/>
      <c r="H164" s="252"/>
      <c r="I164" s="386"/>
      <c r="J164" s="252"/>
      <c r="K164" s="252"/>
      <c r="L164" s="252"/>
      <c r="M164" s="385"/>
      <c r="N164" s="385"/>
      <c r="O164" s="252"/>
    </row>
    <row r="165" spans="1:15" ht="13.5" thickBot="1" x14ac:dyDescent="0.25">
      <c r="A165" s="717" t="s">
        <v>561</v>
      </c>
      <c r="B165" s="718"/>
      <c r="C165" s="718"/>
      <c r="D165" s="718"/>
      <c r="E165" s="718"/>
      <c r="F165" s="718"/>
      <c r="G165" s="718"/>
      <c r="H165" s="252"/>
      <c r="I165" s="717" t="s">
        <v>586</v>
      </c>
      <c r="J165" s="718"/>
      <c r="K165" s="718"/>
      <c r="L165" s="718"/>
      <c r="M165" s="718"/>
      <c r="N165" s="718"/>
      <c r="O165" s="718"/>
    </row>
    <row r="166" spans="1:15" ht="39" thickTop="1" x14ac:dyDescent="0.2">
      <c r="A166" s="360" t="s">
        <v>563</v>
      </c>
      <c r="B166" s="361" t="s">
        <v>94</v>
      </c>
      <c r="C166" s="362" t="s">
        <v>95</v>
      </c>
      <c r="D166" s="363" t="s">
        <v>96</v>
      </c>
      <c r="E166" s="364" t="s">
        <v>94</v>
      </c>
      <c r="F166" s="362" t="s">
        <v>95</v>
      </c>
      <c r="G166" s="365" t="s">
        <v>96</v>
      </c>
      <c r="H166" s="252"/>
      <c r="I166" s="360" t="s">
        <v>588</v>
      </c>
      <c r="J166" s="361" t="s">
        <v>94</v>
      </c>
      <c r="K166" s="362" t="s">
        <v>95</v>
      </c>
      <c r="L166" s="363" t="s">
        <v>96</v>
      </c>
      <c r="M166" s="364" t="s">
        <v>94</v>
      </c>
      <c r="N166" s="362" t="s">
        <v>95</v>
      </c>
      <c r="O166" s="365" t="s">
        <v>96</v>
      </c>
    </row>
    <row r="167" spans="1:15" ht="13.5" thickBot="1" x14ac:dyDescent="0.25">
      <c r="A167" s="366"/>
      <c r="B167" s="367" t="s">
        <v>98</v>
      </c>
      <c r="C167" s="368"/>
      <c r="D167" s="369"/>
      <c r="E167" s="370" t="s">
        <v>99</v>
      </c>
      <c r="F167" s="368"/>
      <c r="G167" s="371"/>
      <c r="H167" s="252"/>
      <c r="I167" s="366"/>
      <c r="J167" s="367" t="s">
        <v>98</v>
      </c>
      <c r="K167" s="368"/>
      <c r="L167" s="369"/>
      <c r="M167" s="370" t="s">
        <v>99</v>
      </c>
      <c r="N167" s="368"/>
      <c r="O167" s="371"/>
    </row>
    <row r="168" spans="1:15" ht="13.5" thickTop="1" x14ac:dyDescent="0.2">
      <c r="A168" s="372" t="s">
        <v>564</v>
      </c>
      <c r="B168" s="617">
        <v>6.4000000000000003E-3</v>
      </c>
      <c r="C168" s="618">
        <v>6.4999999999999997E-3</v>
      </c>
      <c r="D168" s="619">
        <v>6.7000000000000002E-3</v>
      </c>
      <c r="E168" s="620">
        <v>4.0000000000000002E-4</v>
      </c>
      <c r="F168" s="618">
        <v>5.0000000000000001E-4</v>
      </c>
      <c r="G168" s="621">
        <v>2.9999999999999997E-4</v>
      </c>
      <c r="H168" s="252"/>
      <c r="I168" s="372">
        <v>18</v>
      </c>
      <c r="J168" s="617">
        <v>6.1000000000000004E-3</v>
      </c>
      <c r="K168" s="618">
        <v>6.4999999999999997E-3</v>
      </c>
      <c r="L168" s="619">
        <v>6.6E-3</v>
      </c>
      <c r="M168" s="620">
        <v>6.9999999999999999E-4</v>
      </c>
      <c r="N168" s="618">
        <v>5.9999999999999995E-4</v>
      </c>
      <c r="O168" s="621">
        <v>5.0000000000000001E-4</v>
      </c>
    </row>
    <row r="169" spans="1:15" x14ac:dyDescent="0.2">
      <c r="A169" s="374">
        <v>19</v>
      </c>
      <c r="B169" s="622">
        <v>0.44040000000000001</v>
      </c>
      <c r="C169" s="623">
        <v>0.47910000000000003</v>
      </c>
      <c r="D169" s="624">
        <v>0.49120000000000003</v>
      </c>
      <c r="E169" s="625">
        <v>6.5699999999999995E-2</v>
      </c>
      <c r="F169" s="623">
        <v>5.4600000000000003E-2</v>
      </c>
      <c r="G169" s="626">
        <v>4.41E-2</v>
      </c>
      <c r="H169" s="252"/>
      <c r="I169" s="374">
        <v>19</v>
      </c>
      <c r="J169" s="622">
        <v>0.45200000000000001</v>
      </c>
      <c r="K169" s="623">
        <v>0.48849999999999999</v>
      </c>
      <c r="L169" s="624">
        <v>0.50009999999999999</v>
      </c>
      <c r="M169" s="625">
        <v>6.6600000000000006E-2</v>
      </c>
      <c r="N169" s="623">
        <v>5.8000000000000003E-2</v>
      </c>
      <c r="O169" s="626">
        <v>4.8300000000000003E-2</v>
      </c>
    </row>
    <row r="170" spans="1:15" x14ac:dyDescent="0.2">
      <c r="A170" s="374">
        <v>20</v>
      </c>
      <c r="B170" s="622">
        <v>0.2495</v>
      </c>
      <c r="C170" s="623">
        <v>0.248</v>
      </c>
      <c r="D170" s="624">
        <v>0.24859999999999999</v>
      </c>
      <c r="E170" s="625">
        <v>8.1500000000000003E-2</v>
      </c>
      <c r="F170" s="623">
        <v>7.46E-2</v>
      </c>
      <c r="G170" s="626">
        <v>6.9199999999999998E-2</v>
      </c>
      <c r="H170" s="252"/>
      <c r="I170" s="374">
        <v>20</v>
      </c>
      <c r="J170" s="622">
        <v>0.251</v>
      </c>
      <c r="K170" s="623">
        <v>0.2495</v>
      </c>
      <c r="L170" s="624">
        <v>0.24979999999999999</v>
      </c>
      <c r="M170" s="625">
        <v>8.5300000000000001E-2</v>
      </c>
      <c r="N170" s="623">
        <v>7.9500000000000001E-2</v>
      </c>
      <c r="O170" s="626">
        <v>7.3400000000000007E-2</v>
      </c>
    </row>
    <row r="171" spans="1:15" x14ac:dyDescent="0.2">
      <c r="A171" s="374">
        <v>21</v>
      </c>
      <c r="B171" s="622">
        <v>0.10299999999999999</v>
      </c>
      <c r="C171" s="623">
        <v>9.5299999999999996E-2</v>
      </c>
      <c r="D171" s="624">
        <v>9.2399999999999996E-2</v>
      </c>
      <c r="E171" s="625">
        <v>7.0599999999999996E-2</v>
      </c>
      <c r="F171" s="623">
        <v>6.9699999999999998E-2</v>
      </c>
      <c r="G171" s="626">
        <v>6.7599999999999993E-2</v>
      </c>
      <c r="H171" s="252"/>
      <c r="I171" s="374">
        <v>21</v>
      </c>
      <c r="J171" s="622">
        <v>0.104</v>
      </c>
      <c r="K171" s="623">
        <v>9.6500000000000002E-2</v>
      </c>
      <c r="L171" s="624">
        <v>9.4200000000000006E-2</v>
      </c>
      <c r="M171" s="625">
        <v>7.1900000000000006E-2</v>
      </c>
      <c r="N171" s="623">
        <v>7.0199999999999999E-2</v>
      </c>
      <c r="O171" s="626">
        <v>6.9099999999999995E-2</v>
      </c>
    </row>
    <row r="172" spans="1:15" x14ac:dyDescent="0.2">
      <c r="A172" s="374">
        <v>22</v>
      </c>
      <c r="B172" s="622">
        <v>6.7500000000000004E-2</v>
      </c>
      <c r="C172" s="623">
        <v>6.1600000000000002E-2</v>
      </c>
      <c r="D172" s="624">
        <v>5.8299999999999998E-2</v>
      </c>
      <c r="E172" s="625">
        <v>7.4099999999999999E-2</v>
      </c>
      <c r="F172" s="623">
        <v>7.46E-2</v>
      </c>
      <c r="G172" s="626">
        <v>7.3999999999999996E-2</v>
      </c>
      <c r="H172" s="252"/>
      <c r="I172" s="374">
        <v>22</v>
      </c>
      <c r="J172" s="622">
        <v>6.2100000000000002E-2</v>
      </c>
      <c r="K172" s="623">
        <v>5.67E-2</v>
      </c>
      <c r="L172" s="624">
        <v>5.3699999999999998E-2</v>
      </c>
      <c r="M172" s="625">
        <v>7.2700000000000001E-2</v>
      </c>
      <c r="N172" s="623">
        <v>7.4300000000000005E-2</v>
      </c>
      <c r="O172" s="626">
        <v>7.46E-2</v>
      </c>
    </row>
    <row r="173" spans="1:15" x14ac:dyDescent="0.2">
      <c r="A173" s="374">
        <v>23</v>
      </c>
      <c r="B173" s="622">
        <v>4.48E-2</v>
      </c>
      <c r="C173" s="623">
        <v>3.9600000000000003E-2</v>
      </c>
      <c r="D173" s="624">
        <v>3.73E-2</v>
      </c>
      <c r="E173" s="625">
        <v>8.0100000000000005E-2</v>
      </c>
      <c r="F173" s="623">
        <v>8.1799999999999998E-2</v>
      </c>
      <c r="G173" s="626">
        <v>8.2500000000000004E-2</v>
      </c>
      <c r="H173" s="252"/>
      <c r="I173" s="374">
        <v>23</v>
      </c>
      <c r="J173" s="622">
        <v>3.9800000000000002E-2</v>
      </c>
      <c r="K173" s="623">
        <v>3.5099999999999999E-2</v>
      </c>
      <c r="L173" s="624">
        <v>3.27E-2</v>
      </c>
      <c r="M173" s="625">
        <v>6.8900000000000003E-2</v>
      </c>
      <c r="N173" s="623">
        <v>7.0800000000000002E-2</v>
      </c>
      <c r="O173" s="626">
        <v>7.1999999999999995E-2</v>
      </c>
    </row>
    <row r="174" spans="1:15" x14ac:dyDescent="0.2">
      <c r="A174" s="374">
        <v>24</v>
      </c>
      <c r="B174" s="622">
        <v>3.2800000000000003E-2</v>
      </c>
      <c r="C174" s="623">
        <v>3.1099999999999999E-2</v>
      </c>
      <c r="D174" s="624">
        <v>2.9600000000000001E-2</v>
      </c>
      <c r="E174" s="625">
        <v>7.0800000000000002E-2</v>
      </c>
      <c r="F174" s="623">
        <v>7.2599999999999998E-2</v>
      </c>
      <c r="G174" s="626">
        <v>7.2599999999999998E-2</v>
      </c>
      <c r="H174" s="252"/>
      <c r="I174" s="374">
        <v>24</v>
      </c>
      <c r="J174" s="622">
        <v>3.1099999999999999E-2</v>
      </c>
      <c r="K174" s="623">
        <v>2.8799999999999999E-2</v>
      </c>
      <c r="L174" s="624">
        <v>2.7300000000000001E-2</v>
      </c>
      <c r="M174" s="625">
        <v>6.9500000000000006E-2</v>
      </c>
      <c r="N174" s="623">
        <v>7.2999999999999995E-2</v>
      </c>
      <c r="O174" s="626">
        <v>7.3200000000000001E-2</v>
      </c>
    </row>
    <row r="175" spans="1:15" x14ac:dyDescent="0.2">
      <c r="A175" s="374">
        <v>25</v>
      </c>
      <c r="B175" s="622">
        <v>1.8100000000000002E-2</v>
      </c>
      <c r="C175" s="623">
        <v>1.61E-2</v>
      </c>
      <c r="D175" s="624">
        <v>1.5599999999999999E-2</v>
      </c>
      <c r="E175" s="625">
        <v>5.7000000000000002E-2</v>
      </c>
      <c r="F175" s="623">
        <v>5.6500000000000002E-2</v>
      </c>
      <c r="G175" s="626">
        <v>5.7799999999999997E-2</v>
      </c>
      <c r="H175" s="252"/>
      <c r="I175" s="374">
        <v>25</v>
      </c>
      <c r="J175" s="622">
        <v>1.89E-2</v>
      </c>
      <c r="K175" s="623">
        <v>1.7100000000000001E-2</v>
      </c>
      <c r="L175" s="624">
        <v>1.6199999999999999E-2</v>
      </c>
      <c r="M175" s="625">
        <v>5.79E-2</v>
      </c>
      <c r="N175" s="623">
        <v>5.96E-2</v>
      </c>
      <c r="O175" s="626">
        <v>6.0699999999999997E-2</v>
      </c>
    </row>
    <row r="176" spans="1:15" x14ac:dyDescent="0.2">
      <c r="A176" s="374">
        <v>26</v>
      </c>
      <c r="B176" s="622">
        <v>6.6E-3</v>
      </c>
      <c r="C176" s="623">
        <v>4.3E-3</v>
      </c>
      <c r="D176" s="624">
        <v>3.8999999999999998E-3</v>
      </c>
      <c r="E176" s="625">
        <v>4.6600000000000003E-2</v>
      </c>
      <c r="F176" s="623">
        <v>4.4499999999999998E-2</v>
      </c>
      <c r="G176" s="626">
        <v>4.4499999999999998E-2</v>
      </c>
      <c r="H176" s="252"/>
      <c r="I176" s="374">
        <v>26</v>
      </c>
      <c r="J176" s="622">
        <v>5.7999999999999996E-3</v>
      </c>
      <c r="K176" s="623">
        <v>4.1000000000000003E-3</v>
      </c>
      <c r="L176" s="624">
        <v>3.8999999999999998E-3</v>
      </c>
      <c r="M176" s="625">
        <v>4.4699999999999997E-2</v>
      </c>
      <c r="N176" s="623">
        <v>4.3799999999999999E-2</v>
      </c>
      <c r="O176" s="626">
        <v>4.4299999999999999E-2</v>
      </c>
    </row>
    <row r="177" spans="1:15" x14ac:dyDescent="0.2">
      <c r="A177" s="374">
        <v>27</v>
      </c>
      <c r="B177" s="622">
        <v>4.7000000000000002E-3</v>
      </c>
      <c r="C177" s="623">
        <v>2.8999999999999998E-3</v>
      </c>
      <c r="D177" s="624">
        <v>2.5000000000000001E-3</v>
      </c>
      <c r="E177" s="625">
        <v>3.8300000000000001E-2</v>
      </c>
      <c r="F177" s="623">
        <v>3.9399999999999998E-2</v>
      </c>
      <c r="G177" s="626">
        <v>0.04</v>
      </c>
      <c r="H177" s="252"/>
      <c r="I177" s="374">
        <v>27</v>
      </c>
      <c r="J177" s="622">
        <v>4.1000000000000003E-3</v>
      </c>
      <c r="K177" s="623">
        <v>2.7000000000000001E-3</v>
      </c>
      <c r="L177" s="624">
        <v>2.3999999999999998E-3</v>
      </c>
      <c r="M177" s="625">
        <v>4.0899999999999999E-2</v>
      </c>
      <c r="N177" s="623">
        <v>4.0899999999999999E-2</v>
      </c>
      <c r="O177" s="626">
        <v>4.1700000000000001E-2</v>
      </c>
    </row>
    <row r="178" spans="1:15" x14ac:dyDescent="0.2">
      <c r="A178" s="374">
        <v>28</v>
      </c>
      <c r="B178" s="622">
        <v>3.3E-3</v>
      </c>
      <c r="C178" s="623">
        <v>2.3E-3</v>
      </c>
      <c r="D178" s="624">
        <v>2.0999999999999999E-3</v>
      </c>
      <c r="E178" s="625">
        <v>3.0499999999999999E-2</v>
      </c>
      <c r="F178" s="623">
        <v>3.2399999999999998E-2</v>
      </c>
      <c r="G178" s="626">
        <v>3.3300000000000003E-2</v>
      </c>
      <c r="H178" s="252"/>
      <c r="I178" s="374">
        <v>28</v>
      </c>
      <c r="J178" s="622">
        <v>2.8E-3</v>
      </c>
      <c r="K178" s="623">
        <v>1.6999999999999999E-3</v>
      </c>
      <c r="L178" s="624">
        <v>1.5E-3</v>
      </c>
      <c r="M178" s="625">
        <v>3.2800000000000003E-2</v>
      </c>
      <c r="N178" s="623">
        <v>3.2099999999999997E-2</v>
      </c>
      <c r="O178" s="626">
        <v>3.2199999999999999E-2</v>
      </c>
    </row>
    <row r="179" spans="1:15" x14ac:dyDescent="0.2">
      <c r="A179" s="374">
        <v>29</v>
      </c>
      <c r="B179" s="622">
        <v>2.8999999999999998E-3</v>
      </c>
      <c r="C179" s="623">
        <v>1.8E-3</v>
      </c>
      <c r="D179" s="624">
        <v>1.6000000000000001E-3</v>
      </c>
      <c r="E179" s="625">
        <v>2.86E-2</v>
      </c>
      <c r="F179" s="623">
        <v>2.87E-2</v>
      </c>
      <c r="G179" s="626">
        <v>2.9000000000000001E-2</v>
      </c>
      <c r="H179" s="252"/>
      <c r="I179" s="374">
        <v>29</v>
      </c>
      <c r="J179" s="622">
        <v>2.5999999999999999E-3</v>
      </c>
      <c r="K179" s="623">
        <v>1.5E-3</v>
      </c>
      <c r="L179" s="624">
        <v>1.2999999999999999E-3</v>
      </c>
      <c r="M179" s="625">
        <v>2.93E-2</v>
      </c>
      <c r="N179" s="623">
        <v>2.9399999999999999E-2</v>
      </c>
      <c r="O179" s="626">
        <v>3.04E-2</v>
      </c>
    </row>
    <row r="180" spans="1:15" x14ac:dyDescent="0.2">
      <c r="A180" s="377" t="s">
        <v>100</v>
      </c>
      <c r="B180" s="627">
        <v>0.02</v>
      </c>
      <c r="C180" s="628">
        <v>1.14E-2</v>
      </c>
      <c r="D180" s="629">
        <v>1.01E-2</v>
      </c>
      <c r="E180" s="630">
        <v>0.35560000000000003</v>
      </c>
      <c r="F180" s="628">
        <v>0.37</v>
      </c>
      <c r="G180" s="631">
        <v>0.38500000000000001</v>
      </c>
      <c r="H180" s="252"/>
      <c r="I180" s="377" t="s">
        <v>100</v>
      </c>
      <c r="J180" s="627">
        <v>1.9599999999999999E-2</v>
      </c>
      <c r="K180" s="628">
        <v>1.1299999999999999E-2</v>
      </c>
      <c r="L180" s="629">
        <v>1.04E-2</v>
      </c>
      <c r="M180" s="630">
        <v>0.35870000000000002</v>
      </c>
      <c r="N180" s="628">
        <v>0.3679</v>
      </c>
      <c r="O180" s="631">
        <v>0.3795</v>
      </c>
    </row>
    <row r="181" spans="1:15" ht="13.5" thickBot="1" x14ac:dyDescent="0.25">
      <c r="A181" s="378" t="s">
        <v>34</v>
      </c>
      <c r="B181" s="632">
        <v>20.610499999999998</v>
      </c>
      <c r="C181" s="633">
        <v>20.321300000000001</v>
      </c>
      <c r="D181" s="634">
        <v>20.256</v>
      </c>
      <c r="E181" s="635">
        <v>28.523900000000001</v>
      </c>
      <c r="F181" s="633">
        <v>28.855</v>
      </c>
      <c r="G181" s="636">
        <v>29.188099999999999</v>
      </c>
      <c r="H181" s="252"/>
      <c r="I181" s="378" t="s">
        <v>34</v>
      </c>
      <c r="J181" s="632">
        <v>20.550699999999999</v>
      </c>
      <c r="K181" s="633">
        <v>20.28</v>
      </c>
      <c r="L181" s="634">
        <v>20.220099999999999</v>
      </c>
      <c r="M181" s="635">
        <v>28.654699999999998</v>
      </c>
      <c r="N181" s="633">
        <v>28.91</v>
      </c>
      <c r="O181" s="636">
        <v>29.175899999999999</v>
      </c>
    </row>
    <row r="182" spans="1:15" ht="13.5" thickTop="1" x14ac:dyDescent="0.2">
      <c r="A182" s="252"/>
      <c r="B182" s="252"/>
      <c r="C182" s="252"/>
      <c r="D182" s="252"/>
      <c r="E182" s="252"/>
      <c r="F182" s="252"/>
      <c r="G182" s="252"/>
      <c r="H182" s="252"/>
      <c r="I182" s="387"/>
      <c r="J182" s="252"/>
      <c r="K182" s="252"/>
      <c r="L182" s="252"/>
      <c r="M182" s="252"/>
      <c r="N182" s="252"/>
      <c r="O182" s="252"/>
    </row>
    <row r="183" spans="1:15" ht="13.5" thickBot="1" x14ac:dyDescent="0.25">
      <c r="A183" s="717" t="s">
        <v>590</v>
      </c>
      <c r="B183" s="718"/>
      <c r="C183" s="718"/>
      <c r="D183" s="718"/>
      <c r="E183" s="718"/>
      <c r="F183" s="718"/>
      <c r="G183" s="718"/>
      <c r="H183" s="252"/>
      <c r="I183" s="717" t="s">
        <v>593</v>
      </c>
      <c r="J183" s="718"/>
      <c r="K183" s="718"/>
      <c r="L183" s="718"/>
      <c r="M183" s="718"/>
      <c r="N183" s="718"/>
      <c r="O183" s="718"/>
    </row>
    <row r="184" spans="1:15" ht="39" thickTop="1" x14ac:dyDescent="0.2">
      <c r="A184" s="360" t="s">
        <v>592</v>
      </c>
      <c r="B184" s="361" t="s">
        <v>94</v>
      </c>
      <c r="C184" s="362" t="s">
        <v>95</v>
      </c>
      <c r="D184" s="363" t="s">
        <v>96</v>
      </c>
      <c r="E184" s="364" t="s">
        <v>94</v>
      </c>
      <c r="F184" s="362" t="s">
        <v>95</v>
      </c>
      <c r="G184" s="365" t="s">
        <v>96</v>
      </c>
      <c r="H184" s="252"/>
      <c r="I184" s="360" t="s">
        <v>594</v>
      </c>
      <c r="J184" s="361" t="s">
        <v>94</v>
      </c>
      <c r="K184" s="362" t="s">
        <v>95</v>
      </c>
      <c r="L184" s="363" t="s">
        <v>96</v>
      </c>
      <c r="M184" s="364" t="s">
        <v>94</v>
      </c>
      <c r="N184" s="362" t="s">
        <v>95</v>
      </c>
      <c r="O184" s="365" t="s">
        <v>96</v>
      </c>
    </row>
    <row r="185" spans="1:15" ht="13.5" thickBot="1" x14ac:dyDescent="0.25">
      <c r="A185" s="366"/>
      <c r="B185" s="367" t="s">
        <v>98</v>
      </c>
      <c r="C185" s="368"/>
      <c r="D185" s="369"/>
      <c r="E185" s="370" t="s">
        <v>99</v>
      </c>
      <c r="F185" s="368"/>
      <c r="G185" s="371"/>
      <c r="H185" s="252"/>
      <c r="I185" s="366"/>
      <c r="J185" s="367" t="s">
        <v>98</v>
      </c>
      <c r="K185" s="368"/>
      <c r="L185" s="369"/>
      <c r="M185" s="370" t="s">
        <v>99</v>
      </c>
      <c r="N185" s="368"/>
      <c r="O185" s="371"/>
    </row>
    <row r="186" spans="1:15" ht="13.5" thickTop="1" x14ac:dyDescent="0.2">
      <c r="A186" s="372" t="s">
        <v>564</v>
      </c>
      <c r="B186" s="617">
        <v>6.6E-3</v>
      </c>
      <c r="C186" s="618">
        <v>6.6E-3</v>
      </c>
      <c r="D186" s="619">
        <v>6.7000000000000002E-3</v>
      </c>
      <c r="E186" s="620">
        <v>8.0000000000000004E-4</v>
      </c>
      <c r="F186" s="618">
        <v>6.9999999999999999E-4</v>
      </c>
      <c r="G186" s="621">
        <v>6.9999999999999999E-4</v>
      </c>
      <c r="H186" s="252"/>
      <c r="I186" s="372" t="s">
        <v>564</v>
      </c>
      <c r="J186" s="617">
        <v>7.7999999999999996E-3</v>
      </c>
      <c r="K186" s="618">
        <v>7.9000000000000008E-3</v>
      </c>
      <c r="L186" s="619">
        <v>7.9000000000000008E-3</v>
      </c>
      <c r="M186" s="620">
        <v>8.0000000000000004E-4</v>
      </c>
      <c r="N186" s="618">
        <v>6.9999999999999999E-4</v>
      </c>
      <c r="O186" s="621">
        <v>6.9999999999999999E-4</v>
      </c>
    </row>
    <row r="187" spans="1:15" x14ac:dyDescent="0.2">
      <c r="A187" s="374">
        <v>19</v>
      </c>
      <c r="B187" s="622">
        <v>0.45810000000000001</v>
      </c>
      <c r="C187" s="623">
        <v>0.49309999999999998</v>
      </c>
      <c r="D187" s="624">
        <v>0.50360000000000005</v>
      </c>
      <c r="E187" s="625">
        <v>6.5600000000000006E-2</v>
      </c>
      <c r="F187" s="623">
        <v>5.5899999999999998E-2</v>
      </c>
      <c r="G187" s="626">
        <v>4.65E-2</v>
      </c>
      <c r="H187" s="252"/>
      <c r="I187" s="374">
        <v>19</v>
      </c>
      <c r="J187" s="622">
        <v>0.46810000000000002</v>
      </c>
      <c r="K187" s="623">
        <v>0.50419999999999998</v>
      </c>
      <c r="L187" s="624">
        <v>0.51570000000000005</v>
      </c>
      <c r="M187" s="625">
        <v>6.5600000000000006E-2</v>
      </c>
      <c r="N187" s="623">
        <v>5.5899999999999998E-2</v>
      </c>
      <c r="O187" s="626">
        <v>4.65E-2</v>
      </c>
    </row>
    <row r="188" spans="1:15" x14ac:dyDescent="0.2">
      <c r="A188" s="374">
        <v>20</v>
      </c>
      <c r="B188" s="622">
        <v>0.24349999999999999</v>
      </c>
      <c r="C188" s="623">
        <v>0.24</v>
      </c>
      <c r="D188" s="624">
        <v>0.2394</v>
      </c>
      <c r="E188" s="625">
        <v>8.1000000000000003E-2</v>
      </c>
      <c r="F188" s="623">
        <v>7.5600000000000001E-2</v>
      </c>
      <c r="G188" s="626">
        <v>6.9599999999999995E-2</v>
      </c>
      <c r="H188" s="252"/>
      <c r="I188" s="374">
        <v>20</v>
      </c>
      <c r="J188" s="622">
        <v>0.2477</v>
      </c>
      <c r="K188" s="623">
        <v>0.24510000000000001</v>
      </c>
      <c r="L188" s="624">
        <v>0.245</v>
      </c>
      <c r="M188" s="625">
        <v>8.1000000000000003E-2</v>
      </c>
      <c r="N188" s="623">
        <v>7.5600000000000001E-2</v>
      </c>
      <c r="O188" s="626">
        <v>6.9599999999999995E-2</v>
      </c>
    </row>
    <row r="189" spans="1:15" x14ac:dyDescent="0.2">
      <c r="A189" s="374">
        <v>21</v>
      </c>
      <c r="B189" s="622">
        <v>0.10580000000000001</v>
      </c>
      <c r="C189" s="623">
        <v>9.9500000000000005E-2</v>
      </c>
      <c r="D189" s="624">
        <v>9.7100000000000006E-2</v>
      </c>
      <c r="E189" s="625">
        <v>7.0300000000000001E-2</v>
      </c>
      <c r="F189" s="623">
        <v>7.0900000000000005E-2</v>
      </c>
      <c r="G189" s="626">
        <v>7.0199999999999999E-2</v>
      </c>
      <c r="H189" s="252"/>
      <c r="I189" s="374">
        <v>21</v>
      </c>
      <c r="J189" s="622">
        <v>0.1012</v>
      </c>
      <c r="K189" s="623">
        <v>9.2399999999999996E-2</v>
      </c>
      <c r="L189" s="624">
        <v>9.0399999999999994E-2</v>
      </c>
      <c r="M189" s="625">
        <v>7.0300000000000001E-2</v>
      </c>
      <c r="N189" s="623">
        <v>7.0900000000000005E-2</v>
      </c>
      <c r="O189" s="626">
        <v>7.0199999999999999E-2</v>
      </c>
    </row>
    <row r="190" spans="1:15" x14ac:dyDescent="0.2">
      <c r="A190" s="374">
        <v>22</v>
      </c>
      <c r="B190" s="622">
        <v>6.5600000000000006E-2</v>
      </c>
      <c r="C190" s="623">
        <v>6.0299999999999999E-2</v>
      </c>
      <c r="D190" s="624">
        <v>5.79E-2</v>
      </c>
      <c r="E190" s="625">
        <v>7.4899999999999994E-2</v>
      </c>
      <c r="F190" s="623">
        <v>7.8E-2</v>
      </c>
      <c r="G190" s="626">
        <v>7.7700000000000005E-2</v>
      </c>
      <c r="H190" s="252"/>
      <c r="I190" s="374">
        <v>22</v>
      </c>
      <c r="J190" s="622">
        <v>6.0600000000000001E-2</v>
      </c>
      <c r="K190" s="623">
        <v>5.3600000000000002E-2</v>
      </c>
      <c r="L190" s="624">
        <v>5.0999999999999997E-2</v>
      </c>
      <c r="M190" s="625">
        <v>7.4899999999999994E-2</v>
      </c>
      <c r="N190" s="623">
        <v>7.8E-2</v>
      </c>
      <c r="O190" s="626">
        <v>7.7700000000000005E-2</v>
      </c>
    </row>
    <row r="191" spans="1:15" x14ac:dyDescent="0.2">
      <c r="A191" s="374">
        <v>23</v>
      </c>
      <c r="B191" s="622">
        <v>3.7900000000000003E-2</v>
      </c>
      <c r="C191" s="623">
        <v>3.39E-2</v>
      </c>
      <c r="D191" s="624">
        <v>3.2599999999999997E-2</v>
      </c>
      <c r="E191" s="625">
        <v>6.6500000000000004E-2</v>
      </c>
      <c r="F191" s="623">
        <v>6.88E-2</v>
      </c>
      <c r="G191" s="626">
        <v>7.0800000000000002E-2</v>
      </c>
      <c r="H191" s="252"/>
      <c r="I191" s="374">
        <v>23</v>
      </c>
      <c r="J191" s="622">
        <v>3.8199999999999998E-2</v>
      </c>
      <c r="K191" s="623">
        <v>3.4500000000000003E-2</v>
      </c>
      <c r="L191" s="624">
        <v>3.2199999999999999E-2</v>
      </c>
      <c r="M191" s="625">
        <v>6.6500000000000004E-2</v>
      </c>
      <c r="N191" s="623">
        <v>6.88E-2</v>
      </c>
      <c r="O191" s="626">
        <v>7.0800000000000002E-2</v>
      </c>
    </row>
    <row r="192" spans="1:15" x14ac:dyDescent="0.2">
      <c r="A192" s="374">
        <v>24</v>
      </c>
      <c r="B192" s="622">
        <v>3.0700000000000002E-2</v>
      </c>
      <c r="C192" s="623">
        <v>2.9399999999999999E-2</v>
      </c>
      <c r="D192" s="624">
        <v>2.8000000000000001E-2</v>
      </c>
      <c r="E192" s="625">
        <v>5.7500000000000002E-2</v>
      </c>
      <c r="F192" s="623">
        <v>5.96E-2</v>
      </c>
      <c r="G192" s="626">
        <v>6.0100000000000001E-2</v>
      </c>
      <c r="H192" s="252"/>
      <c r="I192" s="374">
        <v>24</v>
      </c>
      <c r="J192" s="622">
        <v>2.9000000000000001E-2</v>
      </c>
      <c r="K192" s="623">
        <v>2.7900000000000001E-2</v>
      </c>
      <c r="L192" s="624">
        <v>2.64E-2</v>
      </c>
      <c r="M192" s="625">
        <v>5.7500000000000002E-2</v>
      </c>
      <c r="N192" s="623">
        <v>5.96E-2</v>
      </c>
      <c r="O192" s="626">
        <v>6.0100000000000001E-2</v>
      </c>
    </row>
    <row r="193" spans="1:15" x14ac:dyDescent="0.2">
      <c r="A193" s="374">
        <v>25</v>
      </c>
      <c r="B193" s="622">
        <v>1.9599999999999999E-2</v>
      </c>
      <c r="C193" s="623">
        <v>1.8499999999999999E-2</v>
      </c>
      <c r="D193" s="624">
        <v>1.77E-2</v>
      </c>
      <c r="E193" s="625">
        <v>5.57E-2</v>
      </c>
      <c r="F193" s="623">
        <v>5.6000000000000001E-2</v>
      </c>
      <c r="G193" s="626">
        <v>5.6000000000000001E-2</v>
      </c>
      <c r="H193" s="252"/>
      <c r="I193" s="374">
        <v>25</v>
      </c>
      <c r="J193" s="622">
        <v>1.77E-2</v>
      </c>
      <c r="K193" s="623">
        <v>1.6799999999999999E-2</v>
      </c>
      <c r="L193" s="624">
        <v>1.5800000000000002E-2</v>
      </c>
      <c r="M193" s="625">
        <v>5.57E-2</v>
      </c>
      <c r="N193" s="623">
        <v>5.6000000000000001E-2</v>
      </c>
      <c r="O193" s="626">
        <v>5.6000000000000001E-2</v>
      </c>
    </row>
    <row r="194" spans="1:15" x14ac:dyDescent="0.2">
      <c r="A194" s="374">
        <v>26</v>
      </c>
      <c r="B194" s="622">
        <v>5.5999999999999999E-3</v>
      </c>
      <c r="C194" s="623">
        <v>3.8999999999999998E-3</v>
      </c>
      <c r="D194" s="624">
        <v>3.5999999999999999E-3</v>
      </c>
      <c r="E194" s="625">
        <v>4.5199999999999997E-2</v>
      </c>
      <c r="F194" s="623">
        <v>4.5400000000000003E-2</v>
      </c>
      <c r="G194" s="626">
        <v>4.58E-2</v>
      </c>
      <c r="H194" s="252"/>
      <c r="I194" s="374">
        <v>26</v>
      </c>
      <c r="J194" s="622">
        <v>4.5999999999999999E-3</v>
      </c>
      <c r="K194" s="623">
        <v>2.8E-3</v>
      </c>
      <c r="L194" s="624">
        <v>2.5999999999999999E-3</v>
      </c>
      <c r="M194" s="625">
        <v>4.5199999999999997E-2</v>
      </c>
      <c r="N194" s="623">
        <v>4.5400000000000003E-2</v>
      </c>
      <c r="O194" s="626">
        <v>4.58E-2</v>
      </c>
    </row>
    <row r="195" spans="1:15" x14ac:dyDescent="0.2">
      <c r="A195" s="374">
        <v>27</v>
      </c>
      <c r="B195" s="622">
        <v>3.7000000000000002E-3</v>
      </c>
      <c r="C195" s="623">
        <v>2.2000000000000001E-3</v>
      </c>
      <c r="D195" s="624">
        <v>1.9E-3</v>
      </c>
      <c r="E195" s="625">
        <v>3.8300000000000001E-2</v>
      </c>
      <c r="F195" s="623">
        <v>3.78E-2</v>
      </c>
      <c r="G195" s="626">
        <v>3.7199999999999997E-2</v>
      </c>
      <c r="H195" s="252"/>
      <c r="I195" s="374">
        <v>27</v>
      </c>
      <c r="J195" s="622">
        <v>3.5000000000000001E-3</v>
      </c>
      <c r="K195" s="623">
        <v>2.2000000000000001E-3</v>
      </c>
      <c r="L195" s="624">
        <v>1.9E-3</v>
      </c>
      <c r="M195" s="625">
        <v>3.8300000000000001E-2</v>
      </c>
      <c r="N195" s="623">
        <v>3.78E-2</v>
      </c>
      <c r="O195" s="626">
        <v>3.7199999999999997E-2</v>
      </c>
    </row>
    <row r="196" spans="1:15" x14ac:dyDescent="0.2">
      <c r="A196" s="374">
        <v>28</v>
      </c>
      <c r="B196" s="622">
        <v>3.0999999999999999E-3</v>
      </c>
      <c r="C196" s="623">
        <v>1.6999999999999999E-3</v>
      </c>
      <c r="D196" s="624">
        <v>1.5E-3</v>
      </c>
      <c r="E196" s="625">
        <v>3.4599999999999999E-2</v>
      </c>
      <c r="F196" s="623">
        <v>3.5400000000000001E-2</v>
      </c>
      <c r="G196" s="626">
        <v>3.6200000000000003E-2</v>
      </c>
      <c r="H196" s="252"/>
      <c r="I196" s="374">
        <v>28</v>
      </c>
      <c r="J196" s="622">
        <v>2.3999999999999998E-3</v>
      </c>
      <c r="K196" s="623">
        <v>1.8E-3</v>
      </c>
      <c r="L196" s="624">
        <v>1.4E-3</v>
      </c>
      <c r="M196" s="625">
        <v>3.4599999999999999E-2</v>
      </c>
      <c r="N196" s="623">
        <v>3.5400000000000001E-2</v>
      </c>
      <c r="O196" s="626">
        <v>3.6200000000000003E-2</v>
      </c>
    </row>
    <row r="197" spans="1:15" x14ac:dyDescent="0.2">
      <c r="A197" s="374">
        <v>29</v>
      </c>
      <c r="B197" s="622">
        <v>2.0999999999999999E-3</v>
      </c>
      <c r="C197" s="623">
        <v>1.4E-3</v>
      </c>
      <c r="D197" s="624">
        <v>1.1999999999999999E-3</v>
      </c>
      <c r="E197" s="625">
        <v>3.0700000000000002E-2</v>
      </c>
      <c r="F197" s="623">
        <v>3.1E-2</v>
      </c>
      <c r="G197" s="626">
        <v>3.1E-2</v>
      </c>
      <c r="H197" s="252"/>
      <c r="I197" s="374">
        <v>29</v>
      </c>
      <c r="J197" s="622">
        <v>2E-3</v>
      </c>
      <c r="K197" s="623">
        <v>1.1999999999999999E-3</v>
      </c>
      <c r="L197" s="624">
        <v>1E-3</v>
      </c>
      <c r="M197" s="625">
        <v>3.0700000000000002E-2</v>
      </c>
      <c r="N197" s="623">
        <v>3.1E-2</v>
      </c>
      <c r="O197" s="626">
        <v>3.1E-2</v>
      </c>
    </row>
    <row r="198" spans="1:15" x14ac:dyDescent="0.2">
      <c r="A198" s="377" t="s">
        <v>100</v>
      </c>
      <c r="B198" s="627">
        <v>1.77E-2</v>
      </c>
      <c r="C198" s="628">
        <v>9.5999999999999992E-3</v>
      </c>
      <c r="D198" s="629">
        <v>8.8000000000000005E-3</v>
      </c>
      <c r="E198" s="630">
        <v>0.37869999999999998</v>
      </c>
      <c r="F198" s="628">
        <v>0.38479999999999998</v>
      </c>
      <c r="G198" s="631">
        <v>0.3982</v>
      </c>
      <c r="H198" s="252"/>
      <c r="I198" s="377" t="s">
        <v>100</v>
      </c>
      <c r="J198" s="627">
        <v>1.7100000000000001E-2</v>
      </c>
      <c r="K198" s="628">
        <v>9.5999999999999992E-3</v>
      </c>
      <c r="L198" s="629">
        <v>8.6999999999999994E-3</v>
      </c>
      <c r="M198" s="630">
        <v>0.37869999999999998</v>
      </c>
      <c r="N198" s="628">
        <v>0.38479999999999998</v>
      </c>
      <c r="O198" s="631">
        <v>0.3982</v>
      </c>
    </row>
    <row r="199" spans="1:15" ht="13.5" thickBot="1" x14ac:dyDescent="0.25">
      <c r="A199" s="378" t="s">
        <v>34</v>
      </c>
      <c r="B199" s="632">
        <v>20.513500000000001</v>
      </c>
      <c r="C199" s="633">
        <v>20.260200000000001</v>
      </c>
      <c r="D199" s="634">
        <v>20.208600000000001</v>
      </c>
      <c r="E199" s="635">
        <v>29.0688</v>
      </c>
      <c r="F199" s="633">
        <v>29.264500000000002</v>
      </c>
      <c r="G199" s="636">
        <v>29.566199999999998</v>
      </c>
      <c r="H199" s="252"/>
      <c r="I199" s="378" t="s">
        <v>34</v>
      </c>
      <c r="J199" s="632">
        <v>20.4559</v>
      </c>
      <c r="K199" s="633">
        <v>20.210599999999999</v>
      </c>
      <c r="L199" s="634">
        <v>20.151199999999999</v>
      </c>
      <c r="M199" s="635">
        <v>29.3124</v>
      </c>
      <c r="N199" s="633">
        <v>29.4117</v>
      </c>
      <c r="O199" s="636">
        <v>29.706499999999998</v>
      </c>
    </row>
    <row r="200" spans="1:15" ht="13.5" thickTop="1" x14ac:dyDescent="0.2">
      <c r="A200" s="252"/>
      <c r="B200" s="252"/>
      <c r="C200" s="252"/>
      <c r="D200" s="252"/>
      <c r="E200" s="252"/>
      <c r="F200" s="252"/>
      <c r="G200" s="252"/>
      <c r="H200" s="252"/>
      <c r="I200" s="387"/>
      <c r="J200" s="252"/>
    </row>
    <row r="201" spans="1:15" ht="13.5" thickBot="1" x14ac:dyDescent="0.25">
      <c r="A201" s="717" t="s">
        <v>596</v>
      </c>
      <c r="B201" s="718"/>
      <c r="C201" s="718"/>
      <c r="D201" s="718"/>
      <c r="E201" s="718"/>
      <c r="F201" s="718"/>
      <c r="G201" s="718"/>
      <c r="H201" s="252"/>
      <c r="I201" s="717" t="s">
        <v>603</v>
      </c>
      <c r="J201" s="718"/>
      <c r="K201" s="718"/>
      <c r="L201" s="718"/>
      <c r="M201" s="718"/>
      <c r="N201" s="718"/>
      <c r="O201" s="718"/>
    </row>
    <row r="202" spans="1:15" ht="39" thickTop="1" x14ac:dyDescent="0.2">
      <c r="A202" s="360" t="s">
        <v>604</v>
      </c>
      <c r="B202" s="361" t="s">
        <v>94</v>
      </c>
      <c r="C202" s="362" t="s">
        <v>95</v>
      </c>
      <c r="D202" s="363" t="s">
        <v>96</v>
      </c>
      <c r="E202" s="364" t="s">
        <v>94</v>
      </c>
      <c r="F202" s="362" t="s">
        <v>95</v>
      </c>
      <c r="G202" s="365" t="s">
        <v>96</v>
      </c>
      <c r="H202" s="252"/>
      <c r="I202" s="360" t="s">
        <v>605</v>
      </c>
      <c r="J202" s="361" t="s">
        <v>94</v>
      </c>
      <c r="K202" s="362" t="s">
        <v>95</v>
      </c>
      <c r="L202" s="363" t="s">
        <v>96</v>
      </c>
      <c r="M202" s="364" t="s">
        <v>94</v>
      </c>
      <c r="N202" s="362" t="s">
        <v>95</v>
      </c>
      <c r="O202" s="365" t="s">
        <v>96</v>
      </c>
    </row>
    <row r="203" spans="1:15" ht="13.5" thickBot="1" x14ac:dyDescent="0.25">
      <c r="A203" s="366"/>
      <c r="B203" s="367" t="s">
        <v>98</v>
      </c>
      <c r="C203" s="368"/>
      <c r="D203" s="369"/>
      <c r="E203" s="370" t="s">
        <v>99</v>
      </c>
      <c r="F203" s="368"/>
      <c r="G203" s="371"/>
      <c r="H203" s="252"/>
      <c r="I203" s="366"/>
      <c r="J203" s="367" t="s">
        <v>98</v>
      </c>
      <c r="K203" s="368"/>
      <c r="L203" s="369"/>
      <c r="M203" s="370" t="s">
        <v>99</v>
      </c>
      <c r="N203" s="368"/>
      <c r="O203" s="371"/>
    </row>
    <row r="204" spans="1:15" ht="13.5" thickTop="1" x14ac:dyDescent="0.2">
      <c r="A204" s="372" t="s">
        <v>564</v>
      </c>
      <c r="B204" s="617">
        <v>8.0000000000000002E-3</v>
      </c>
      <c r="C204" s="618">
        <v>8.2000000000000007E-3</v>
      </c>
      <c r="D204" s="619">
        <v>8.0000000000000002E-3</v>
      </c>
      <c r="E204" s="620">
        <v>8.0000000000000004E-4</v>
      </c>
      <c r="F204" s="618">
        <v>6.9999999999999999E-4</v>
      </c>
      <c r="G204" s="621">
        <v>6.9999999999999999E-4</v>
      </c>
      <c r="H204" s="252"/>
      <c r="I204" s="372" t="s">
        <v>564</v>
      </c>
      <c r="J204" s="617">
        <v>8.6E-3</v>
      </c>
      <c r="K204" s="618">
        <v>8.3999999999999995E-3</v>
      </c>
      <c r="L204" s="619">
        <v>8.2000000000000007E-3</v>
      </c>
      <c r="M204" s="620">
        <v>1.1000000000000001E-3</v>
      </c>
      <c r="N204" s="618">
        <v>1.1000000000000001E-3</v>
      </c>
      <c r="O204" s="621">
        <v>1.1000000000000001E-3</v>
      </c>
    </row>
    <row r="205" spans="1:15" x14ac:dyDescent="0.2">
      <c r="A205" s="374">
        <v>19</v>
      </c>
      <c r="B205" s="622">
        <v>0.47489999999999999</v>
      </c>
      <c r="C205" s="623">
        <v>0.51670000000000005</v>
      </c>
      <c r="D205" s="624">
        <v>0.52710000000000001</v>
      </c>
      <c r="E205" s="625">
        <v>6.5600000000000006E-2</v>
      </c>
      <c r="F205" s="623">
        <v>5.5899999999999998E-2</v>
      </c>
      <c r="G205" s="626">
        <v>4.65E-2</v>
      </c>
      <c r="H205" s="252"/>
      <c r="I205" s="374">
        <v>19</v>
      </c>
      <c r="J205" s="622">
        <v>0.47139999999999999</v>
      </c>
      <c r="K205" s="623">
        <v>0.51729999999999998</v>
      </c>
      <c r="L205" s="624">
        <v>0.52549999999999997</v>
      </c>
      <c r="M205" s="625">
        <v>9.5399999999999999E-2</v>
      </c>
      <c r="N205" s="623">
        <v>8.9099999999999999E-2</v>
      </c>
      <c r="O205" s="626">
        <v>7.8E-2</v>
      </c>
    </row>
    <row r="206" spans="1:15" x14ac:dyDescent="0.2">
      <c r="A206" s="374">
        <v>20</v>
      </c>
      <c r="B206" s="622">
        <v>0.24679999999999999</v>
      </c>
      <c r="C206" s="623">
        <v>0.2424</v>
      </c>
      <c r="D206" s="624">
        <v>0.24179999999999999</v>
      </c>
      <c r="E206" s="625">
        <v>8.1000000000000003E-2</v>
      </c>
      <c r="F206" s="623">
        <v>7.5600000000000001E-2</v>
      </c>
      <c r="G206" s="626">
        <v>6.9599999999999995E-2</v>
      </c>
      <c r="H206" s="252"/>
      <c r="I206" s="374">
        <v>20</v>
      </c>
      <c r="J206" s="622">
        <v>0.24379999999999999</v>
      </c>
      <c r="K206" s="623">
        <v>0.23730000000000001</v>
      </c>
      <c r="L206" s="624">
        <v>0.23669999999999999</v>
      </c>
      <c r="M206" s="625">
        <v>0.1</v>
      </c>
      <c r="N206" s="623">
        <v>9.9699999999999997E-2</v>
      </c>
      <c r="O206" s="626">
        <v>9.3600000000000003E-2</v>
      </c>
    </row>
    <row r="207" spans="1:15" x14ac:dyDescent="0.2">
      <c r="A207" s="374">
        <v>21</v>
      </c>
      <c r="B207" s="622">
        <v>9.9599999999999994E-2</v>
      </c>
      <c r="C207" s="623">
        <v>9.06E-2</v>
      </c>
      <c r="D207" s="624">
        <v>8.8800000000000004E-2</v>
      </c>
      <c r="E207" s="625">
        <v>7.0300000000000001E-2</v>
      </c>
      <c r="F207" s="623">
        <v>7.0900000000000005E-2</v>
      </c>
      <c r="G207" s="626">
        <v>7.0199999999999999E-2</v>
      </c>
      <c r="H207" s="252"/>
      <c r="I207" s="374">
        <v>21</v>
      </c>
      <c r="J207" s="622">
        <v>0.10100000000000001</v>
      </c>
      <c r="K207" s="623">
        <v>9.0999999999999998E-2</v>
      </c>
      <c r="L207" s="624">
        <v>8.8499999999999995E-2</v>
      </c>
      <c r="M207" s="625">
        <v>7.7899999999999997E-2</v>
      </c>
      <c r="N207" s="623">
        <v>8.09E-2</v>
      </c>
      <c r="O207" s="626">
        <v>8.1199999999999994E-2</v>
      </c>
    </row>
    <row r="208" spans="1:15" x14ac:dyDescent="0.2">
      <c r="A208" s="374">
        <v>22</v>
      </c>
      <c r="B208" s="622">
        <v>5.8500000000000003E-2</v>
      </c>
      <c r="C208" s="623">
        <v>5.21E-2</v>
      </c>
      <c r="D208" s="624">
        <v>4.9799999999999997E-2</v>
      </c>
      <c r="E208" s="625">
        <v>7.4899999999999994E-2</v>
      </c>
      <c r="F208" s="623">
        <v>7.8E-2</v>
      </c>
      <c r="G208" s="626">
        <v>7.7700000000000005E-2</v>
      </c>
      <c r="H208" s="252"/>
      <c r="I208" s="374">
        <v>22</v>
      </c>
      <c r="J208" s="622">
        <v>6.4000000000000001E-2</v>
      </c>
      <c r="K208" s="623">
        <v>5.5500000000000001E-2</v>
      </c>
      <c r="L208" s="624">
        <v>5.3999999999999999E-2</v>
      </c>
      <c r="M208" s="625">
        <v>7.7700000000000005E-2</v>
      </c>
      <c r="N208" s="623">
        <v>7.9699999999999993E-2</v>
      </c>
      <c r="O208" s="626">
        <v>7.8899999999999998E-2</v>
      </c>
    </row>
    <row r="209" spans="1:15" x14ac:dyDescent="0.2">
      <c r="A209" s="374">
        <v>23</v>
      </c>
      <c r="B209" s="622">
        <v>3.6299999999999999E-2</v>
      </c>
      <c r="C209" s="623">
        <v>3.15E-2</v>
      </c>
      <c r="D209" s="624">
        <v>2.9700000000000001E-2</v>
      </c>
      <c r="E209" s="625">
        <v>6.6500000000000004E-2</v>
      </c>
      <c r="F209" s="623">
        <v>6.88E-2</v>
      </c>
      <c r="G209" s="626">
        <v>7.0800000000000002E-2</v>
      </c>
      <c r="H209" s="252"/>
      <c r="I209" s="374">
        <v>23</v>
      </c>
      <c r="J209" s="622">
        <v>3.78E-2</v>
      </c>
      <c r="K209" s="623">
        <v>3.2199999999999999E-2</v>
      </c>
      <c r="L209" s="624">
        <v>3.1099999999999999E-2</v>
      </c>
      <c r="M209" s="625">
        <v>6.54E-2</v>
      </c>
      <c r="N209" s="623">
        <v>6.5299999999999997E-2</v>
      </c>
      <c r="O209" s="626">
        <v>6.5299999999999997E-2</v>
      </c>
    </row>
    <row r="210" spans="1:15" x14ac:dyDescent="0.2">
      <c r="A210" s="374">
        <v>24</v>
      </c>
      <c r="B210" s="622">
        <v>2.8400000000000002E-2</v>
      </c>
      <c r="C210" s="623">
        <v>2.6200000000000001E-2</v>
      </c>
      <c r="D210" s="624">
        <v>2.4799999999999999E-2</v>
      </c>
      <c r="E210" s="625">
        <v>5.7500000000000002E-2</v>
      </c>
      <c r="F210" s="623">
        <v>5.96E-2</v>
      </c>
      <c r="G210" s="626">
        <v>6.0100000000000001E-2</v>
      </c>
      <c r="H210" s="252"/>
      <c r="I210" s="374">
        <v>24</v>
      </c>
      <c r="J210" s="622">
        <v>2.9600000000000001E-2</v>
      </c>
      <c r="K210" s="623">
        <v>2.7199999999999998E-2</v>
      </c>
      <c r="L210" s="624">
        <v>2.63E-2</v>
      </c>
      <c r="M210" s="625">
        <v>5.33E-2</v>
      </c>
      <c r="N210" s="623">
        <v>5.67E-2</v>
      </c>
      <c r="O210" s="626">
        <v>5.79E-2</v>
      </c>
    </row>
    <row r="211" spans="1:15" x14ac:dyDescent="0.2">
      <c r="A211" s="374">
        <v>25</v>
      </c>
      <c r="B211" s="622">
        <v>1.6400000000000001E-2</v>
      </c>
      <c r="C211" s="623">
        <v>1.47E-2</v>
      </c>
      <c r="D211" s="624">
        <v>1.38E-2</v>
      </c>
      <c r="E211" s="625">
        <v>5.57E-2</v>
      </c>
      <c r="F211" s="623">
        <v>5.6000000000000001E-2</v>
      </c>
      <c r="G211" s="626">
        <v>5.6000000000000001E-2</v>
      </c>
      <c r="H211" s="252"/>
      <c r="I211" s="374">
        <v>25</v>
      </c>
      <c r="J211" s="622">
        <v>1.8499999999999999E-2</v>
      </c>
      <c r="K211" s="623">
        <v>1.7399999999999999E-2</v>
      </c>
      <c r="L211" s="624">
        <v>1.7100000000000001E-2</v>
      </c>
      <c r="M211" s="625">
        <v>4.4499999999999998E-2</v>
      </c>
      <c r="N211" s="623">
        <v>4.5499999999999999E-2</v>
      </c>
      <c r="O211" s="626">
        <v>4.5999999999999999E-2</v>
      </c>
    </row>
    <row r="212" spans="1:15" x14ac:dyDescent="0.2">
      <c r="A212" s="374">
        <v>26</v>
      </c>
      <c r="B212" s="622">
        <v>4.1000000000000003E-3</v>
      </c>
      <c r="C212" s="623">
        <v>2.3999999999999998E-3</v>
      </c>
      <c r="D212" s="624">
        <v>2.2000000000000001E-3</v>
      </c>
      <c r="E212" s="625">
        <v>4.5199999999999997E-2</v>
      </c>
      <c r="F212" s="623">
        <v>4.5400000000000003E-2</v>
      </c>
      <c r="G212" s="626">
        <v>4.58E-2</v>
      </c>
      <c r="H212" s="252"/>
      <c r="I212" s="374">
        <v>26</v>
      </c>
      <c r="J212" s="622">
        <v>4.1000000000000003E-3</v>
      </c>
      <c r="K212" s="623">
        <v>2.5999999999999999E-3</v>
      </c>
      <c r="L212" s="624">
        <v>2.5000000000000001E-3</v>
      </c>
      <c r="M212" s="625">
        <v>3.2899999999999999E-2</v>
      </c>
      <c r="N212" s="623">
        <v>3.27E-2</v>
      </c>
      <c r="O212" s="626">
        <v>3.4000000000000002E-2</v>
      </c>
    </row>
    <row r="213" spans="1:15" x14ac:dyDescent="0.2">
      <c r="A213" s="374">
        <v>27</v>
      </c>
      <c r="B213" s="622">
        <v>3.3999999999999998E-3</v>
      </c>
      <c r="C213" s="623">
        <v>2.2000000000000001E-3</v>
      </c>
      <c r="D213" s="624">
        <v>2E-3</v>
      </c>
      <c r="E213" s="625">
        <v>3.8300000000000001E-2</v>
      </c>
      <c r="F213" s="623">
        <v>3.78E-2</v>
      </c>
      <c r="G213" s="626">
        <v>3.7199999999999997E-2</v>
      </c>
      <c r="H213" s="252"/>
      <c r="I213" s="374">
        <v>27</v>
      </c>
      <c r="J213" s="622">
        <v>2.5000000000000001E-3</v>
      </c>
      <c r="K213" s="623">
        <v>1.6000000000000001E-3</v>
      </c>
      <c r="L213" s="624">
        <v>1.4E-3</v>
      </c>
      <c r="M213" s="625">
        <v>2.8400000000000002E-2</v>
      </c>
      <c r="N213" s="623">
        <v>2.87E-2</v>
      </c>
      <c r="O213" s="626">
        <v>2.9499999999999998E-2</v>
      </c>
    </row>
    <row r="214" spans="1:15" x14ac:dyDescent="0.2">
      <c r="A214" s="374">
        <v>28</v>
      </c>
      <c r="B214" s="622">
        <v>2.5000000000000001E-3</v>
      </c>
      <c r="C214" s="623">
        <v>1.4E-3</v>
      </c>
      <c r="D214" s="624">
        <v>1.2999999999999999E-3</v>
      </c>
      <c r="E214" s="625">
        <v>3.4599999999999999E-2</v>
      </c>
      <c r="F214" s="623">
        <v>3.5400000000000001E-2</v>
      </c>
      <c r="G214" s="626">
        <v>3.6200000000000003E-2</v>
      </c>
      <c r="H214" s="252"/>
      <c r="I214" s="374">
        <v>28</v>
      </c>
      <c r="J214" s="622">
        <v>2.3E-3</v>
      </c>
      <c r="K214" s="623">
        <v>1.1000000000000001E-3</v>
      </c>
      <c r="L214" s="624">
        <v>1.1000000000000001E-3</v>
      </c>
      <c r="M214" s="625">
        <v>2.9700000000000001E-2</v>
      </c>
      <c r="N214" s="623">
        <v>2.93E-2</v>
      </c>
      <c r="O214" s="626">
        <v>3.0099999999999998E-2</v>
      </c>
    </row>
    <row r="215" spans="1:15" x14ac:dyDescent="0.2">
      <c r="A215" s="374">
        <v>29</v>
      </c>
      <c r="B215" s="622">
        <v>2.2000000000000001E-3</v>
      </c>
      <c r="C215" s="623">
        <v>1.1000000000000001E-3</v>
      </c>
      <c r="D215" s="624">
        <v>1E-3</v>
      </c>
      <c r="E215" s="625">
        <v>3.0700000000000002E-2</v>
      </c>
      <c r="F215" s="623">
        <v>3.1E-2</v>
      </c>
      <c r="G215" s="626">
        <v>3.1E-2</v>
      </c>
      <c r="H215" s="252"/>
      <c r="I215" s="374">
        <v>29</v>
      </c>
      <c r="J215" s="622">
        <v>1.9E-3</v>
      </c>
      <c r="K215" s="623">
        <v>1E-3</v>
      </c>
      <c r="L215" s="624">
        <v>8.9999999999999998E-4</v>
      </c>
      <c r="M215" s="625">
        <v>2.7799999999999998E-2</v>
      </c>
      <c r="N215" s="623">
        <v>2.6700000000000002E-2</v>
      </c>
      <c r="O215" s="626">
        <v>2.69E-2</v>
      </c>
    </row>
    <row r="216" spans="1:15" x14ac:dyDescent="0.2">
      <c r="A216" s="377" t="s">
        <v>100</v>
      </c>
      <c r="B216" s="627">
        <v>1.89E-2</v>
      </c>
      <c r="C216" s="628">
        <v>1.06E-2</v>
      </c>
      <c r="D216" s="629">
        <v>9.5999999999999992E-3</v>
      </c>
      <c r="E216" s="630">
        <v>0.37869999999999998</v>
      </c>
      <c r="F216" s="628">
        <v>0.38479999999999998</v>
      </c>
      <c r="G216" s="631">
        <v>0.3982</v>
      </c>
      <c r="H216" s="252"/>
      <c r="I216" s="377" t="s">
        <v>100</v>
      </c>
      <c r="J216" s="627">
        <v>1.43E-2</v>
      </c>
      <c r="K216" s="628">
        <v>7.4999999999999997E-3</v>
      </c>
      <c r="L216" s="629">
        <v>6.7000000000000002E-3</v>
      </c>
      <c r="M216" s="630">
        <v>0.3659</v>
      </c>
      <c r="N216" s="628">
        <v>0.36470000000000002</v>
      </c>
      <c r="O216" s="631">
        <v>0.37769999999999998</v>
      </c>
    </row>
    <row r="217" spans="1:15" ht="13.5" thickBot="1" x14ac:dyDescent="0.25">
      <c r="A217" s="378" t="s">
        <v>34</v>
      </c>
      <c r="B217" s="632">
        <v>20.4635</v>
      </c>
      <c r="C217" s="633">
        <v>20.1844</v>
      </c>
      <c r="D217" s="634">
        <v>20.1295</v>
      </c>
      <c r="E217" s="635">
        <v>29.0596</v>
      </c>
      <c r="F217" s="633">
        <v>28.940799999999999</v>
      </c>
      <c r="G217" s="636">
        <v>29.3078</v>
      </c>
      <c r="H217" s="252"/>
      <c r="I217" s="378" t="s">
        <v>34</v>
      </c>
      <c r="J217" s="632">
        <v>20.404199999999999</v>
      </c>
      <c r="K217" s="633">
        <v>20.144500000000001</v>
      </c>
      <c r="L217" s="634">
        <v>20.1007</v>
      </c>
      <c r="M217" s="635">
        <v>28.665700000000001</v>
      </c>
      <c r="N217" s="633">
        <v>28.723199999999999</v>
      </c>
      <c r="O217" s="636">
        <v>29.022099999999998</v>
      </c>
    </row>
    <row r="218" spans="1:15" ht="13.5" thickTop="1" x14ac:dyDescent="0.2">
      <c r="A218" s="252"/>
      <c r="B218" s="252"/>
      <c r="C218" s="252"/>
      <c r="D218" s="252"/>
      <c r="E218" s="252"/>
      <c r="F218" s="252"/>
      <c r="G218" s="252"/>
      <c r="H218" s="252"/>
      <c r="I218" s="387"/>
      <c r="J218" s="252"/>
    </row>
    <row r="219" spans="1:15" ht="13.5" thickBot="1" x14ac:dyDescent="0.25">
      <c r="A219" s="717" t="s">
        <v>606</v>
      </c>
      <c r="B219" s="718"/>
      <c r="C219" s="718"/>
      <c r="D219" s="718"/>
      <c r="E219" s="718"/>
      <c r="F219" s="718"/>
      <c r="G219" s="718"/>
      <c r="H219" s="252"/>
      <c r="I219" s="717" t="s">
        <v>611</v>
      </c>
      <c r="J219" s="718"/>
      <c r="K219" s="718"/>
      <c r="L219" s="718"/>
      <c r="M219" s="718"/>
      <c r="N219" s="718"/>
      <c r="O219" s="718"/>
    </row>
    <row r="220" spans="1:15" ht="39" thickTop="1" x14ac:dyDescent="0.2">
      <c r="A220" s="360" t="s">
        <v>612</v>
      </c>
      <c r="B220" s="361" t="s">
        <v>94</v>
      </c>
      <c r="C220" s="362" t="s">
        <v>95</v>
      </c>
      <c r="D220" s="363" t="s">
        <v>96</v>
      </c>
      <c r="E220" s="364" t="s">
        <v>94</v>
      </c>
      <c r="F220" s="362" t="s">
        <v>95</v>
      </c>
      <c r="G220" s="365" t="s">
        <v>96</v>
      </c>
      <c r="H220" s="252"/>
      <c r="I220" s="360" t="s">
        <v>613</v>
      </c>
      <c r="J220" s="361" t="s">
        <v>94</v>
      </c>
      <c r="K220" s="362" t="s">
        <v>95</v>
      </c>
      <c r="L220" s="363" t="s">
        <v>96</v>
      </c>
      <c r="M220" s="364" t="s">
        <v>94</v>
      </c>
      <c r="N220" s="362" t="s">
        <v>95</v>
      </c>
      <c r="O220" s="365" t="s">
        <v>96</v>
      </c>
    </row>
    <row r="221" spans="1:15" ht="13.5" thickBot="1" x14ac:dyDescent="0.25">
      <c r="A221" s="366"/>
      <c r="B221" s="367" t="s">
        <v>98</v>
      </c>
      <c r="C221" s="368"/>
      <c r="D221" s="369"/>
      <c r="E221" s="370" t="s">
        <v>99</v>
      </c>
      <c r="F221" s="368"/>
      <c r="G221" s="371"/>
      <c r="H221" s="252"/>
      <c r="I221" s="366"/>
      <c r="J221" s="367" t="s">
        <v>98</v>
      </c>
      <c r="K221" s="368"/>
      <c r="L221" s="369"/>
      <c r="M221" s="370" t="s">
        <v>99</v>
      </c>
      <c r="N221" s="368"/>
      <c r="O221" s="371"/>
    </row>
    <row r="222" spans="1:15" ht="13.5" thickTop="1" x14ac:dyDescent="0.2">
      <c r="A222" s="372" t="s">
        <v>564</v>
      </c>
      <c r="B222" s="617">
        <v>8.9999999999999993E-3</v>
      </c>
      <c r="C222" s="618">
        <v>9.4000000000000004E-3</v>
      </c>
      <c r="D222" s="619">
        <v>9.2999999999999992E-3</v>
      </c>
      <c r="E222" s="620">
        <v>1.1000000000000001E-3</v>
      </c>
      <c r="F222" s="618">
        <v>1.1000000000000001E-3</v>
      </c>
      <c r="G222" s="621">
        <v>1.1000000000000001E-3</v>
      </c>
      <c r="H222" s="252"/>
      <c r="I222" s="372" t="s">
        <v>564</v>
      </c>
      <c r="J222" s="617">
        <v>9.4999999999999998E-3</v>
      </c>
      <c r="K222" s="618">
        <v>9.5999999999999992E-3</v>
      </c>
      <c r="L222" s="619">
        <v>9.4999999999999998E-3</v>
      </c>
      <c r="M222" s="620">
        <v>1.1000000000000001E-3</v>
      </c>
      <c r="N222" s="618">
        <v>1.1000000000000001E-3</v>
      </c>
      <c r="O222" s="621">
        <v>1.1000000000000001E-3</v>
      </c>
    </row>
    <row r="223" spans="1:15" x14ac:dyDescent="0.2">
      <c r="A223" s="374">
        <v>19</v>
      </c>
      <c r="B223" s="622">
        <v>0.4743</v>
      </c>
      <c r="C223" s="623">
        <v>0.52280000000000004</v>
      </c>
      <c r="D223" s="624">
        <v>0.53139999999999998</v>
      </c>
      <c r="E223" s="625">
        <v>9.5399999999999999E-2</v>
      </c>
      <c r="F223" s="623">
        <v>8.9099999999999999E-2</v>
      </c>
      <c r="G223" s="626">
        <v>7.8E-2</v>
      </c>
      <c r="H223" s="252"/>
      <c r="I223" s="374">
        <v>19</v>
      </c>
      <c r="J223" s="622">
        <v>0.48570000000000002</v>
      </c>
      <c r="K223" s="623">
        <v>0.53539999999999999</v>
      </c>
      <c r="L223" s="624">
        <v>0.54610000000000003</v>
      </c>
      <c r="M223" s="625">
        <v>9.5399999999999999E-2</v>
      </c>
      <c r="N223" s="623">
        <v>8.9099999999999999E-2</v>
      </c>
      <c r="O223" s="626">
        <v>7.8E-2</v>
      </c>
    </row>
    <row r="224" spans="1:15" x14ac:dyDescent="0.2">
      <c r="A224" s="374">
        <v>20</v>
      </c>
      <c r="B224" s="622">
        <v>0.2452</v>
      </c>
      <c r="C224" s="623">
        <v>0.2384</v>
      </c>
      <c r="D224" s="624">
        <v>0.23810000000000001</v>
      </c>
      <c r="E224" s="625">
        <v>0.1</v>
      </c>
      <c r="F224" s="623">
        <v>9.9699999999999997E-2</v>
      </c>
      <c r="G224" s="626">
        <v>9.3600000000000003E-2</v>
      </c>
      <c r="H224" s="252"/>
      <c r="I224" s="374">
        <v>20</v>
      </c>
      <c r="J224" s="622">
        <v>0.24299999999999999</v>
      </c>
      <c r="K224" s="623">
        <v>0.23469999999999999</v>
      </c>
      <c r="L224" s="624">
        <v>0.23300000000000001</v>
      </c>
      <c r="M224" s="625">
        <v>0.1</v>
      </c>
      <c r="N224" s="623">
        <v>9.9699999999999997E-2</v>
      </c>
      <c r="O224" s="626">
        <v>9.3600000000000003E-2</v>
      </c>
    </row>
    <row r="225" spans="1:15" x14ac:dyDescent="0.2">
      <c r="A225" s="374">
        <v>21</v>
      </c>
      <c r="B225" s="622">
        <v>9.7299999999999998E-2</v>
      </c>
      <c r="C225" s="623">
        <v>8.5900000000000004E-2</v>
      </c>
      <c r="D225" s="624">
        <v>8.4099999999999994E-2</v>
      </c>
      <c r="E225" s="625">
        <v>7.7899999999999997E-2</v>
      </c>
      <c r="F225" s="623">
        <v>8.09E-2</v>
      </c>
      <c r="G225" s="626">
        <v>8.1199999999999994E-2</v>
      </c>
      <c r="H225" s="252"/>
      <c r="I225" s="374">
        <v>21</v>
      </c>
      <c r="J225" s="622">
        <v>9.1399999999999995E-2</v>
      </c>
      <c r="K225" s="623">
        <v>7.8799999999999995E-2</v>
      </c>
      <c r="L225" s="624">
        <v>7.6600000000000001E-2</v>
      </c>
      <c r="M225" s="625">
        <v>7.7899999999999997E-2</v>
      </c>
      <c r="N225" s="623">
        <v>8.09E-2</v>
      </c>
      <c r="O225" s="626">
        <v>8.1199999999999994E-2</v>
      </c>
    </row>
    <row r="226" spans="1:15" x14ac:dyDescent="0.2">
      <c r="A226" s="374">
        <v>22</v>
      </c>
      <c r="B226" s="622">
        <v>6.2799999999999995E-2</v>
      </c>
      <c r="C226" s="623">
        <v>5.3900000000000003E-2</v>
      </c>
      <c r="D226" s="624">
        <v>5.1999999999999998E-2</v>
      </c>
      <c r="E226" s="625">
        <v>7.7700000000000005E-2</v>
      </c>
      <c r="F226" s="623">
        <v>7.9699999999999993E-2</v>
      </c>
      <c r="G226" s="626">
        <v>7.8899999999999998E-2</v>
      </c>
      <c r="H226" s="252"/>
      <c r="I226" s="374">
        <v>22</v>
      </c>
      <c r="J226" s="622">
        <v>6.0499999999999998E-2</v>
      </c>
      <c r="K226" s="623">
        <v>5.2600000000000001E-2</v>
      </c>
      <c r="L226" s="624">
        <v>5.0200000000000002E-2</v>
      </c>
      <c r="M226" s="625">
        <v>7.7700000000000005E-2</v>
      </c>
      <c r="N226" s="623">
        <v>7.9699999999999993E-2</v>
      </c>
      <c r="O226" s="626">
        <v>7.8899999999999998E-2</v>
      </c>
    </row>
    <row r="227" spans="1:15" x14ac:dyDescent="0.2">
      <c r="A227" s="374">
        <v>23</v>
      </c>
      <c r="B227" s="622">
        <v>4.0300000000000002E-2</v>
      </c>
      <c r="C227" s="623">
        <v>3.4000000000000002E-2</v>
      </c>
      <c r="D227" s="624">
        <v>3.27E-2</v>
      </c>
      <c r="E227" s="625">
        <v>6.54E-2</v>
      </c>
      <c r="F227" s="623">
        <v>6.5299999999999997E-2</v>
      </c>
      <c r="G227" s="626">
        <v>6.5299999999999997E-2</v>
      </c>
      <c r="H227" s="252"/>
      <c r="I227" s="374">
        <v>23</v>
      </c>
      <c r="J227" s="622">
        <v>3.9300000000000002E-2</v>
      </c>
      <c r="K227" s="623">
        <v>3.2800000000000003E-2</v>
      </c>
      <c r="L227" s="624">
        <v>3.1399999999999997E-2</v>
      </c>
      <c r="M227" s="625">
        <v>6.54E-2</v>
      </c>
      <c r="N227" s="623">
        <v>6.5299999999999997E-2</v>
      </c>
      <c r="O227" s="626">
        <v>6.5299999999999997E-2</v>
      </c>
    </row>
    <row r="228" spans="1:15" x14ac:dyDescent="0.2">
      <c r="A228" s="374">
        <v>24</v>
      </c>
      <c r="B228" s="622">
        <v>2.9399999999999999E-2</v>
      </c>
      <c r="C228" s="623">
        <v>2.64E-2</v>
      </c>
      <c r="D228" s="624">
        <v>2.53E-2</v>
      </c>
      <c r="E228" s="625">
        <v>5.33E-2</v>
      </c>
      <c r="F228" s="623">
        <v>5.67E-2</v>
      </c>
      <c r="G228" s="626">
        <v>5.79E-2</v>
      </c>
      <c r="H228" s="252"/>
      <c r="I228" s="374">
        <v>24</v>
      </c>
      <c r="J228" s="622">
        <v>2.9399999999999999E-2</v>
      </c>
      <c r="K228" s="623">
        <v>2.6499999999999999E-2</v>
      </c>
      <c r="L228" s="624">
        <v>2.5499999999999998E-2</v>
      </c>
      <c r="M228" s="625">
        <v>5.33E-2</v>
      </c>
      <c r="N228" s="623">
        <v>5.67E-2</v>
      </c>
      <c r="O228" s="626">
        <v>5.79E-2</v>
      </c>
    </row>
    <row r="229" spans="1:15" x14ac:dyDescent="0.2">
      <c r="A229" s="374">
        <v>25</v>
      </c>
      <c r="B229" s="622">
        <v>1.7600000000000001E-2</v>
      </c>
      <c r="C229" s="623">
        <v>1.6E-2</v>
      </c>
      <c r="D229" s="624">
        <v>1.55E-2</v>
      </c>
      <c r="E229" s="625">
        <v>4.4499999999999998E-2</v>
      </c>
      <c r="F229" s="623">
        <v>4.5499999999999999E-2</v>
      </c>
      <c r="G229" s="626">
        <v>4.5999999999999999E-2</v>
      </c>
      <c r="H229" s="252"/>
      <c r="I229" s="374">
        <v>25</v>
      </c>
      <c r="J229" s="622">
        <v>1.6799999999999999E-2</v>
      </c>
      <c r="K229" s="623">
        <v>1.6E-2</v>
      </c>
      <c r="L229" s="624">
        <v>1.55E-2</v>
      </c>
      <c r="M229" s="625">
        <v>4.4499999999999998E-2</v>
      </c>
      <c r="N229" s="623">
        <v>4.5499999999999999E-2</v>
      </c>
      <c r="O229" s="626">
        <v>4.5999999999999999E-2</v>
      </c>
    </row>
    <row r="230" spans="1:15" x14ac:dyDescent="0.2">
      <c r="A230" s="374">
        <v>26</v>
      </c>
      <c r="B230" s="622">
        <v>4.0000000000000001E-3</v>
      </c>
      <c r="C230" s="623">
        <v>2.7000000000000001E-3</v>
      </c>
      <c r="D230" s="624">
        <v>2.3999999999999998E-3</v>
      </c>
      <c r="E230" s="625">
        <v>3.2899999999999999E-2</v>
      </c>
      <c r="F230" s="623">
        <v>3.27E-2</v>
      </c>
      <c r="G230" s="626">
        <v>3.4000000000000002E-2</v>
      </c>
      <c r="H230" s="252"/>
      <c r="I230" s="374">
        <v>26</v>
      </c>
      <c r="J230" s="622">
        <v>4.1999999999999997E-3</v>
      </c>
      <c r="K230" s="623">
        <v>2.5999999999999999E-3</v>
      </c>
      <c r="L230" s="624">
        <v>2.5000000000000001E-3</v>
      </c>
      <c r="M230" s="625">
        <v>3.2899999999999999E-2</v>
      </c>
      <c r="N230" s="623">
        <v>3.27E-2</v>
      </c>
      <c r="O230" s="626">
        <v>3.4000000000000002E-2</v>
      </c>
    </row>
    <row r="231" spans="1:15" x14ac:dyDescent="0.2">
      <c r="A231" s="374">
        <v>27</v>
      </c>
      <c r="B231" s="622">
        <v>2.5999999999999999E-3</v>
      </c>
      <c r="C231" s="623">
        <v>1.4E-3</v>
      </c>
      <c r="D231" s="624">
        <v>1.4E-3</v>
      </c>
      <c r="E231" s="625">
        <v>2.8400000000000002E-2</v>
      </c>
      <c r="F231" s="623">
        <v>2.87E-2</v>
      </c>
      <c r="G231" s="626">
        <v>2.9499999999999998E-2</v>
      </c>
      <c r="H231" s="252"/>
      <c r="I231" s="374">
        <v>27</v>
      </c>
      <c r="J231" s="622">
        <v>2.5000000000000001E-3</v>
      </c>
      <c r="K231" s="623">
        <v>1.6000000000000001E-3</v>
      </c>
      <c r="L231" s="624">
        <v>1.5E-3</v>
      </c>
      <c r="M231" s="625">
        <v>2.8400000000000002E-2</v>
      </c>
      <c r="N231" s="623">
        <v>2.87E-2</v>
      </c>
      <c r="O231" s="626">
        <v>2.9499999999999998E-2</v>
      </c>
    </row>
    <row r="232" spans="1:15" x14ac:dyDescent="0.2">
      <c r="A232" s="374">
        <v>28</v>
      </c>
      <c r="B232" s="622">
        <v>1.6999999999999999E-3</v>
      </c>
      <c r="C232" s="623">
        <v>8.0000000000000004E-4</v>
      </c>
      <c r="D232" s="624">
        <v>6.9999999999999999E-4</v>
      </c>
      <c r="E232" s="625">
        <v>2.9700000000000001E-2</v>
      </c>
      <c r="F232" s="623">
        <v>2.93E-2</v>
      </c>
      <c r="G232" s="626">
        <v>3.0099999999999998E-2</v>
      </c>
      <c r="H232" s="252"/>
      <c r="I232" s="374">
        <v>28</v>
      </c>
      <c r="J232" s="622">
        <v>1.9E-3</v>
      </c>
      <c r="K232" s="623">
        <v>1.1999999999999999E-3</v>
      </c>
      <c r="L232" s="624">
        <v>1.1000000000000001E-3</v>
      </c>
      <c r="M232" s="625">
        <v>2.9700000000000001E-2</v>
      </c>
      <c r="N232" s="623">
        <v>2.93E-2</v>
      </c>
      <c r="O232" s="626">
        <v>3.0099999999999998E-2</v>
      </c>
    </row>
    <row r="233" spans="1:15" x14ac:dyDescent="0.2">
      <c r="A233" s="374">
        <v>29</v>
      </c>
      <c r="B233" s="622">
        <v>1.8E-3</v>
      </c>
      <c r="C233" s="623">
        <v>8.0000000000000004E-4</v>
      </c>
      <c r="D233" s="624">
        <v>6.9999999999999999E-4</v>
      </c>
      <c r="E233" s="625">
        <v>2.7799999999999998E-2</v>
      </c>
      <c r="F233" s="623">
        <v>2.6700000000000002E-2</v>
      </c>
      <c r="G233" s="626">
        <v>2.69E-2</v>
      </c>
      <c r="H233" s="252"/>
      <c r="I233" s="374">
        <v>29</v>
      </c>
      <c r="J233" s="622">
        <v>1.2999999999999999E-3</v>
      </c>
      <c r="K233" s="623">
        <v>5.9999999999999995E-4</v>
      </c>
      <c r="L233" s="624">
        <v>5.9999999999999995E-4</v>
      </c>
      <c r="M233" s="625">
        <v>2.7799999999999998E-2</v>
      </c>
      <c r="N233" s="623">
        <v>2.6700000000000002E-2</v>
      </c>
      <c r="O233" s="626">
        <v>2.69E-2</v>
      </c>
    </row>
    <row r="234" spans="1:15" x14ac:dyDescent="0.2">
      <c r="A234" s="377" t="s">
        <v>100</v>
      </c>
      <c r="B234" s="627">
        <v>1.41E-2</v>
      </c>
      <c r="C234" s="628">
        <v>7.3000000000000001E-3</v>
      </c>
      <c r="D234" s="629">
        <v>6.4999999999999997E-3</v>
      </c>
      <c r="E234" s="630">
        <v>0.3659</v>
      </c>
      <c r="F234" s="628">
        <v>0.36470000000000002</v>
      </c>
      <c r="G234" s="631">
        <v>0.37769999999999998</v>
      </c>
      <c r="H234" s="252"/>
      <c r="I234" s="377" t="s">
        <v>100</v>
      </c>
      <c r="J234" s="627">
        <v>1.43E-2</v>
      </c>
      <c r="K234" s="628">
        <v>7.4000000000000003E-3</v>
      </c>
      <c r="L234" s="629">
        <v>6.6E-3</v>
      </c>
      <c r="M234" s="630">
        <v>0.3659</v>
      </c>
      <c r="N234" s="628">
        <v>0.36470000000000002</v>
      </c>
      <c r="O234" s="631">
        <v>0.37769999999999998</v>
      </c>
    </row>
    <row r="235" spans="1:15" ht="13.5" thickBot="1" x14ac:dyDescent="0.25">
      <c r="A235" s="378" t="s">
        <v>34</v>
      </c>
      <c r="B235" s="632">
        <v>20.392399999999999</v>
      </c>
      <c r="C235" s="633">
        <v>20.120699999999999</v>
      </c>
      <c r="D235" s="634">
        <v>20.076799999999999</v>
      </c>
      <c r="E235" s="635">
        <v>28.897099999999998</v>
      </c>
      <c r="F235" s="633">
        <v>28.843399999999999</v>
      </c>
      <c r="G235" s="636">
        <v>29.132899999999999</v>
      </c>
      <c r="H235" s="252"/>
      <c r="I235" s="378" t="s">
        <v>34</v>
      </c>
      <c r="J235" s="632">
        <v>20.368500000000001</v>
      </c>
      <c r="K235" s="633">
        <v>20.096699999999998</v>
      </c>
      <c r="L235" s="634">
        <v>20.049900000000001</v>
      </c>
      <c r="M235" s="635">
        <v>28.565799999999999</v>
      </c>
      <c r="N235" s="633">
        <v>28.509899999999998</v>
      </c>
      <c r="O235" s="636">
        <v>28.927499999999998</v>
      </c>
    </row>
    <row r="236" spans="1:15" ht="13.5" thickTop="1" x14ac:dyDescent="0.2"/>
    <row r="237" spans="1:15" ht="13.5" thickBot="1" x14ac:dyDescent="0.25">
      <c r="A237" s="717" t="s">
        <v>618</v>
      </c>
      <c r="B237" s="718"/>
      <c r="C237" s="718"/>
      <c r="D237" s="718"/>
      <c r="E237" s="718"/>
      <c r="F237" s="718"/>
      <c r="G237" s="718"/>
    </row>
    <row r="238" spans="1:15" ht="39" thickTop="1" x14ac:dyDescent="0.2">
      <c r="A238" s="360" t="s">
        <v>613</v>
      </c>
      <c r="B238" s="361" t="s">
        <v>94</v>
      </c>
      <c r="C238" s="362" t="s">
        <v>95</v>
      </c>
      <c r="D238" s="363" t="s">
        <v>96</v>
      </c>
      <c r="E238" s="364" t="s">
        <v>94</v>
      </c>
      <c r="F238" s="362" t="s">
        <v>95</v>
      </c>
      <c r="G238" s="365" t="s">
        <v>96</v>
      </c>
    </row>
    <row r="239" spans="1:15" ht="13.5" thickBot="1" x14ac:dyDescent="0.25">
      <c r="A239" s="366"/>
      <c r="B239" s="367" t="s">
        <v>98</v>
      </c>
      <c r="C239" s="368"/>
      <c r="D239" s="369"/>
      <c r="E239" s="370" t="s">
        <v>99</v>
      </c>
      <c r="F239" s="368"/>
      <c r="G239" s="371"/>
    </row>
    <row r="240" spans="1:15" ht="13.5" thickTop="1" x14ac:dyDescent="0.2">
      <c r="A240" s="372" t="s">
        <v>564</v>
      </c>
      <c r="B240" s="617">
        <v>9.7000000000000003E-3</v>
      </c>
      <c r="C240" s="618">
        <v>9.7000000000000003E-3</v>
      </c>
      <c r="D240" s="619">
        <v>9.7999999999999997E-3</v>
      </c>
      <c r="E240" s="620">
        <v>2.2000000000000001E-3</v>
      </c>
      <c r="F240" s="618">
        <v>2.2000000000000001E-3</v>
      </c>
      <c r="G240" s="621">
        <v>1.8E-3</v>
      </c>
    </row>
    <row r="241" spans="1:7" x14ac:dyDescent="0.2">
      <c r="A241" s="374">
        <v>19</v>
      </c>
      <c r="B241" s="622">
        <v>0.49709999999999999</v>
      </c>
      <c r="C241" s="623">
        <v>0.54120000000000001</v>
      </c>
      <c r="D241" s="624">
        <v>0.55059999999999998</v>
      </c>
      <c r="E241" s="625">
        <v>0.12989999999999999</v>
      </c>
      <c r="F241" s="623">
        <v>0.1154</v>
      </c>
      <c r="G241" s="626">
        <v>9.5100000000000004E-2</v>
      </c>
    </row>
    <row r="242" spans="1:7" x14ac:dyDescent="0.2">
      <c r="A242" s="374">
        <v>20</v>
      </c>
      <c r="B242" s="622">
        <v>0.2417</v>
      </c>
      <c r="C242" s="623">
        <v>0.2354</v>
      </c>
      <c r="D242" s="624">
        <v>0.2346</v>
      </c>
      <c r="E242" s="625">
        <v>0.11070000000000001</v>
      </c>
      <c r="F242" s="623">
        <v>0.1081</v>
      </c>
      <c r="G242" s="626">
        <v>9.9900000000000003E-2</v>
      </c>
    </row>
    <row r="243" spans="1:7" x14ac:dyDescent="0.2">
      <c r="A243" s="374">
        <v>21</v>
      </c>
      <c r="B243" s="622">
        <v>8.9899999999999994E-2</v>
      </c>
      <c r="C243" s="623">
        <v>7.9100000000000004E-2</v>
      </c>
      <c r="D243" s="624">
        <v>7.7299999999999994E-2</v>
      </c>
      <c r="E243" s="625">
        <v>7.8E-2</v>
      </c>
      <c r="F243" s="623">
        <v>7.8899999999999998E-2</v>
      </c>
      <c r="G243" s="626">
        <v>7.8700000000000006E-2</v>
      </c>
    </row>
    <row r="244" spans="1:7" x14ac:dyDescent="0.2">
      <c r="A244" s="374">
        <v>22</v>
      </c>
      <c r="B244" s="622">
        <v>5.6800000000000003E-2</v>
      </c>
      <c r="C244" s="623">
        <v>4.8800000000000003E-2</v>
      </c>
      <c r="D244" s="624">
        <v>4.6699999999999998E-2</v>
      </c>
      <c r="E244" s="625">
        <v>7.5999999999999998E-2</v>
      </c>
      <c r="F244" s="623">
        <v>8.0399999999999999E-2</v>
      </c>
      <c r="G244" s="626">
        <v>8.1500000000000003E-2</v>
      </c>
    </row>
    <row r="245" spans="1:7" x14ac:dyDescent="0.2">
      <c r="A245" s="374">
        <v>23</v>
      </c>
      <c r="B245" s="622">
        <v>3.5999999999999997E-2</v>
      </c>
      <c r="C245" s="623">
        <v>0.03</v>
      </c>
      <c r="D245" s="624">
        <v>2.8500000000000001E-2</v>
      </c>
      <c r="E245" s="625">
        <v>6.6799999999999998E-2</v>
      </c>
      <c r="F245" s="623">
        <v>7.0499999999999993E-2</v>
      </c>
      <c r="G245" s="626">
        <v>7.3300000000000004E-2</v>
      </c>
    </row>
    <row r="246" spans="1:7" x14ac:dyDescent="0.2">
      <c r="A246" s="374">
        <v>24</v>
      </c>
      <c r="B246" s="622">
        <v>2.93E-2</v>
      </c>
      <c r="C246" s="623">
        <v>2.69E-2</v>
      </c>
      <c r="D246" s="624">
        <v>2.5700000000000001E-2</v>
      </c>
      <c r="E246" s="625">
        <v>5.5199999999999999E-2</v>
      </c>
      <c r="F246" s="623">
        <v>5.5599999999999997E-2</v>
      </c>
      <c r="G246" s="626">
        <v>5.8200000000000002E-2</v>
      </c>
    </row>
    <row r="247" spans="1:7" x14ac:dyDescent="0.2">
      <c r="A247" s="374">
        <v>25</v>
      </c>
      <c r="B247" s="622">
        <v>1.78E-2</v>
      </c>
      <c r="C247" s="623">
        <v>1.7000000000000001E-2</v>
      </c>
      <c r="D247" s="624">
        <v>1.6199999999999999E-2</v>
      </c>
      <c r="E247" s="625">
        <v>4.19E-2</v>
      </c>
      <c r="F247" s="623">
        <v>4.48E-2</v>
      </c>
      <c r="G247" s="626">
        <v>4.6300000000000001E-2</v>
      </c>
    </row>
    <row r="248" spans="1:7" x14ac:dyDescent="0.2">
      <c r="A248" s="374">
        <v>26</v>
      </c>
      <c r="B248" s="622">
        <v>3.8E-3</v>
      </c>
      <c r="C248" s="623">
        <v>2.5000000000000001E-3</v>
      </c>
      <c r="D248" s="624">
        <v>2.2000000000000001E-3</v>
      </c>
      <c r="E248" s="625">
        <v>3.0599999999999999E-2</v>
      </c>
      <c r="F248" s="623">
        <v>0.03</v>
      </c>
      <c r="G248" s="626">
        <v>3.1E-2</v>
      </c>
    </row>
    <row r="249" spans="1:7" x14ac:dyDescent="0.2">
      <c r="A249" s="374">
        <v>27</v>
      </c>
      <c r="B249" s="622">
        <v>2.3999999999999998E-3</v>
      </c>
      <c r="C249" s="623">
        <v>1.4E-3</v>
      </c>
      <c r="D249" s="624">
        <v>1.4E-3</v>
      </c>
      <c r="E249" s="625">
        <v>2.5100000000000001E-2</v>
      </c>
      <c r="F249" s="623">
        <v>2.6599999999999999E-2</v>
      </c>
      <c r="G249" s="626">
        <v>2.7799999999999998E-2</v>
      </c>
    </row>
    <row r="250" spans="1:7" x14ac:dyDescent="0.2">
      <c r="A250" s="374">
        <v>28</v>
      </c>
      <c r="B250" s="622">
        <v>1.6999999999999999E-3</v>
      </c>
      <c r="C250" s="623">
        <v>1E-3</v>
      </c>
      <c r="D250" s="624">
        <v>1E-3</v>
      </c>
      <c r="E250" s="625">
        <v>2.18E-2</v>
      </c>
      <c r="F250" s="623">
        <v>2.3099999999999999E-2</v>
      </c>
      <c r="G250" s="626">
        <v>2.35E-2</v>
      </c>
    </row>
    <row r="251" spans="1:7" x14ac:dyDescent="0.2">
      <c r="A251" s="374">
        <v>29</v>
      </c>
      <c r="B251" s="622">
        <v>1.5E-3</v>
      </c>
      <c r="C251" s="623">
        <v>6.9999999999999999E-4</v>
      </c>
      <c r="D251" s="624">
        <v>6.9999999999999999E-4</v>
      </c>
      <c r="E251" s="625">
        <v>1.8700000000000001E-2</v>
      </c>
      <c r="F251" s="623">
        <v>1.8700000000000001E-2</v>
      </c>
      <c r="G251" s="626">
        <v>1.9800000000000002E-2</v>
      </c>
    </row>
    <row r="252" spans="1:7" x14ac:dyDescent="0.2">
      <c r="A252" s="377" t="s">
        <v>100</v>
      </c>
      <c r="B252" s="627">
        <v>1.24E-2</v>
      </c>
      <c r="C252" s="628">
        <v>6.1000000000000004E-3</v>
      </c>
      <c r="D252" s="629">
        <v>5.4000000000000003E-3</v>
      </c>
      <c r="E252" s="630">
        <v>0.34320000000000001</v>
      </c>
      <c r="F252" s="628">
        <v>0.3458</v>
      </c>
      <c r="G252" s="631">
        <v>0.36320000000000002</v>
      </c>
    </row>
    <row r="253" spans="1:7" ht="13.5" thickBot="1" x14ac:dyDescent="0.25">
      <c r="A253" s="378" t="s">
        <v>34</v>
      </c>
      <c r="B253" s="632">
        <v>20.309699999999999</v>
      </c>
      <c r="C253" s="633">
        <v>20.059799999999999</v>
      </c>
      <c r="D253" s="634">
        <v>20.015899999999998</v>
      </c>
      <c r="E253" s="635">
        <v>28.245000000000001</v>
      </c>
      <c r="F253" s="633">
        <v>28.378299999999999</v>
      </c>
      <c r="G253" s="636">
        <v>28.807600000000001</v>
      </c>
    </row>
    <row r="254" spans="1:7" ht="13.5" thickTop="1" x14ac:dyDescent="0.2"/>
  </sheetData>
  <mergeCells count="31">
    <mergeCell ref="A237:G237"/>
    <mergeCell ref="A219:G219"/>
    <mergeCell ref="I201:O201"/>
    <mergeCell ref="V44:X44"/>
    <mergeCell ref="A57:G57"/>
    <mergeCell ref="I57:O57"/>
    <mergeCell ref="A201:G201"/>
    <mergeCell ref="I183:O183"/>
    <mergeCell ref="A183:G183"/>
    <mergeCell ref="I219:O219"/>
    <mergeCell ref="V23:X23"/>
    <mergeCell ref="A39:G39"/>
    <mergeCell ref="I39:O39"/>
    <mergeCell ref="I129:O129"/>
    <mergeCell ref="A147:G147"/>
    <mergeCell ref="A129:G129"/>
    <mergeCell ref="S23:U23"/>
    <mergeCell ref="S44:U44"/>
    <mergeCell ref="A3:G3"/>
    <mergeCell ref="I3:O3"/>
    <mergeCell ref="A21:G21"/>
    <mergeCell ref="I21:O21"/>
    <mergeCell ref="I165:O165"/>
    <mergeCell ref="A165:G165"/>
    <mergeCell ref="A75:G75"/>
    <mergeCell ref="I75:O75"/>
    <mergeCell ref="I147:O147"/>
    <mergeCell ref="A93:G93"/>
    <mergeCell ref="I93:O93"/>
    <mergeCell ref="A111:G111"/>
    <mergeCell ref="I111:O11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R38"/>
  <sheetViews>
    <sheetView workbookViewId="0">
      <selection activeCell="S23" sqref="S23"/>
    </sheetView>
  </sheetViews>
  <sheetFormatPr defaultRowHeight="12.75" x14ac:dyDescent="0.2"/>
  <cols>
    <col min="1" max="1" width="9.7109375" style="6" customWidth="1"/>
    <col min="2" max="2" width="7.7109375" style="26" customWidth="1"/>
    <col min="3" max="3" width="8.28515625" style="6" customWidth="1"/>
    <col min="4" max="4" width="8.85546875" style="6" customWidth="1"/>
    <col min="5" max="5" width="8.42578125" style="6" customWidth="1"/>
    <col min="6" max="6" width="8.85546875" style="6" customWidth="1"/>
    <col min="7" max="7" width="8.5703125" style="6" customWidth="1"/>
    <col min="8" max="8" width="8.7109375" style="6" customWidth="1"/>
    <col min="9" max="9" width="8.140625" style="6" customWidth="1"/>
    <col min="10" max="11" width="8.7109375" style="6" customWidth="1"/>
    <col min="12" max="16" width="9.140625" style="6"/>
    <col min="17" max="40" width="9.140625" style="392"/>
    <col min="41" max="260" width="9.140625" style="6"/>
    <col min="261" max="261" width="9.7109375" style="6" customWidth="1"/>
    <col min="262" max="271" width="7.7109375" style="6" customWidth="1"/>
    <col min="272" max="516" width="9.140625" style="6"/>
    <col min="517" max="517" width="9.7109375" style="6" customWidth="1"/>
    <col min="518" max="527" width="7.7109375" style="6" customWidth="1"/>
    <col min="528" max="772" width="9.140625" style="6"/>
    <col min="773" max="773" width="9.7109375" style="6" customWidth="1"/>
    <col min="774" max="783" width="7.7109375" style="6" customWidth="1"/>
    <col min="784" max="1028" width="9.140625" style="6"/>
    <col min="1029" max="1029" width="9.7109375" style="6" customWidth="1"/>
    <col min="1030" max="1039" width="7.7109375" style="6" customWidth="1"/>
    <col min="1040" max="1284" width="9.140625" style="6"/>
    <col min="1285" max="1285" width="9.7109375" style="6" customWidth="1"/>
    <col min="1286" max="1295" width="7.7109375" style="6" customWidth="1"/>
    <col min="1296" max="1540" width="9.140625" style="6"/>
    <col min="1541" max="1541" width="9.7109375" style="6" customWidth="1"/>
    <col min="1542" max="1551" width="7.7109375" style="6" customWidth="1"/>
    <col min="1552" max="1796" width="9.140625" style="6"/>
    <col min="1797" max="1797" width="9.7109375" style="6" customWidth="1"/>
    <col min="1798" max="1807" width="7.7109375" style="6" customWidth="1"/>
    <col min="1808" max="2052" width="9.140625" style="6"/>
    <col min="2053" max="2053" width="9.7109375" style="6" customWidth="1"/>
    <col min="2054" max="2063" width="7.7109375" style="6" customWidth="1"/>
    <col min="2064" max="2308" width="9.140625" style="6"/>
    <col min="2309" max="2309" width="9.7109375" style="6" customWidth="1"/>
    <col min="2310" max="2319" width="7.7109375" style="6" customWidth="1"/>
    <col min="2320" max="2564" width="9.140625" style="6"/>
    <col min="2565" max="2565" width="9.7109375" style="6" customWidth="1"/>
    <col min="2566" max="2575" width="7.7109375" style="6" customWidth="1"/>
    <col min="2576" max="2820" width="9.140625" style="6"/>
    <col min="2821" max="2821" width="9.7109375" style="6" customWidth="1"/>
    <col min="2822" max="2831" width="7.7109375" style="6" customWidth="1"/>
    <col min="2832" max="3076" width="9.140625" style="6"/>
    <col min="3077" max="3077" width="9.7109375" style="6" customWidth="1"/>
    <col min="3078" max="3087" width="7.7109375" style="6" customWidth="1"/>
    <col min="3088" max="3332" width="9.140625" style="6"/>
    <col min="3333" max="3333" width="9.7109375" style="6" customWidth="1"/>
    <col min="3334" max="3343" width="7.7109375" style="6" customWidth="1"/>
    <col min="3344" max="3588" width="9.140625" style="6"/>
    <col min="3589" max="3589" width="9.7109375" style="6" customWidth="1"/>
    <col min="3590" max="3599" width="7.7109375" style="6" customWidth="1"/>
    <col min="3600" max="3844" width="9.140625" style="6"/>
    <col min="3845" max="3845" width="9.7109375" style="6" customWidth="1"/>
    <col min="3846" max="3855" width="7.7109375" style="6" customWidth="1"/>
    <col min="3856" max="4100" width="9.140625" style="6"/>
    <col min="4101" max="4101" width="9.7109375" style="6" customWidth="1"/>
    <col min="4102" max="4111" width="7.7109375" style="6" customWidth="1"/>
    <col min="4112" max="4356" width="9.140625" style="6"/>
    <col min="4357" max="4357" width="9.7109375" style="6" customWidth="1"/>
    <col min="4358" max="4367" width="7.7109375" style="6" customWidth="1"/>
    <col min="4368" max="4612" width="9.140625" style="6"/>
    <col min="4613" max="4613" width="9.7109375" style="6" customWidth="1"/>
    <col min="4614" max="4623" width="7.7109375" style="6" customWidth="1"/>
    <col min="4624" max="4868" width="9.140625" style="6"/>
    <col min="4869" max="4869" width="9.7109375" style="6" customWidth="1"/>
    <col min="4870" max="4879" width="7.7109375" style="6" customWidth="1"/>
    <col min="4880" max="5124" width="9.140625" style="6"/>
    <col min="5125" max="5125" width="9.7109375" style="6" customWidth="1"/>
    <col min="5126" max="5135" width="7.7109375" style="6" customWidth="1"/>
    <col min="5136" max="5380" width="9.140625" style="6"/>
    <col min="5381" max="5381" width="9.7109375" style="6" customWidth="1"/>
    <col min="5382" max="5391" width="7.7109375" style="6" customWidth="1"/>
    <col min="5392" max="5636" width="9.140625" style="6"/>
    <col min="5637" max="5637" width="9.7109375" style="6" customWidth="1"/>
    <col min="5638" max="5647" width="7.7109375" style="6" customWidth="1"/>
    <col min="5648" max="5892" width="9.140625" style="6"/>
    <col min="5893" max="5893" width="9.7109375" style="6" customWidth="1"/>
    <col min="5894" max="5903" width="7.7109375" style="6" customWidth="1"/>
    <col min="5904" max="6148" width="9.140625" style="6"/>
    <col min="6149" max="6149" width="9.7109375" style="6" customWidth="1"/>
    <col min="6150" max="6159" width="7.7109375" style="6" customWidth="1"/>
    <col min="6160" max="6404" width="9.140625" style="6"/>
    <col min="6405" max="6405" width="9.7109375" style="6" customWidth="1"/>
    <col min="6406" max="6415" width="7.7109375" style="6" customWidth="1"/>
    <col min="6416" max="6660" width="9.140625" style="6"/>
    <col min="6661" max="6661" width="9.7109375" style="6" customWidth="1"/>
    <col min="6662" max="6671" width="7.7109375" style="6" customWidth="1"/>
    <col min="6672" max="6916" width="9.140625" style="6"/>
    <col min="6917" max="6917" width="9.7109375" style="6" customWidth="1"/>
    <col min="6918" max="6927" width="7.7109375" style="6" customWidth="1"/>
    <col min="6928" max="7172" width="9.140625" style="6"/>
    <col min="7173" max="7173" width="9.7109375" style="6" customWidth="1"/>
    <col min="7174" max="7183" width="7.7109375" style="6" customWidth="1"/>
    <col min="7184" max="7428" width="9.140625" style="6"/>
    <col min="7429" max="7429" width="9.7109375" style="6" customWidth="1"/>
    <col min="7430" max="7439" width="7.7109375" style="6" customWidth="1"/>
    <col min="7440" max="7684" width="9.140625" style="6"/>
    <col min="7685" max="7685" width="9.7109375" style="6" customWidth="1"/>
    <col min="7686" max="7695" width="7.7109375" style="6" customWidth="1"/>
    <col min="7696" max="7940" width="9.140625" style="6"/>
    <col min="7941" max="7941" width="9.7109375" style="6" customWidth="1"/>
    <col min="7942" max="7951" width="7.7109375" style="6" customWidth="1"/>
    <col min="7952" max="8196" width="9.140625" style="6"/>
    <col min="8197" max="8197" width="9.7109375" style="6" customWidth="1"/>
    <col min="8198" max="8207" width="7.7109375" style="6" customWidth="1"/>
    <col min="8208" max="8452" width="9.140625" style="6"/>
    <col min="8453" max="8453" width="9.7109375" style="6" customWidth="1"/>
    <col min="8454" max="8463" width="7.7109375" style="6" customWidth="1"/>
    <col min="8464" max="8708" width="9.140625" style="6"/>
    <col min="8709" max="8709" width="9.7109375" style="6" customWidth="1"/>
    <col min="8710" max="8719" width="7.7109375" style="6" customWidth="1"/>
    <col min="8720" max="8964" width="9.140625" style="6"/>
    <col min="8965" max="8965" width="9.7109375" style="6" customWidth="1"/>
    <col min="8966" max="8975" width="7.7109375" style="6" customWidth="1"/>
    <col min="8976" max="9220" width="9.140625" style="6"/>
    <col min="9221" max="9221" width="9.7109375" style="6" customWidth="1"/>
    <col min="9222" max="9231" width="7.7109375" style="6" customWidth="1"/>
    <col min="9232" max="9476" width="9.140625" style="6"/>
    <col min="9477" max="9477" width="9.7109375" style="6" customWidth="1"/>
    <col min="9478" max="9487" width="7.7109375" style="6" customWidth="1"/>
    <col min="9488" max="9732" width="9.140625" style="6"/>
    <col min="9733" max="9733" width="9.7109375" style="6" customWidth="1"/>
    <col min="9734" max="9743" width="7.7109375" style="6" customWidth="1"/>
    <col min="9744" max="9988" width="9.140625" style="6"/>
    <col min="9989" max="9989" width="9.7109375" style="6" customWidth="1"/>
    <col min="9990" max="9999" width="7.7109375" style="6" customWidth="1"/>
    <col min="10000" max="10244" width="9.140625" style="6"/>
    <col min="10245" max="10245" width="9.7109375" style="6" customWidth="1"/>
    <col min="10246" max="10255" width="7.7109375" style="6" customWidth="1"/>
    <col min="10256" max="10500" width="9.140625" style="6"/>
    <col min="10501" max="10501" width="9.7109375" style="6" customWidth="1"/>
    <col min="10502" max="10511" width="7.7109375" style="6" customWidth="1"/>
    <col min="10512" max="10756" width="9.140625" style="6"/>
    <col min="10757" max="10757" width="9.7109375" style="6" customWidth="1"/>
    <col min="10758" max="10767" width="7.7109375" style="6" customWidth="1"/>
    <col min="10768" max="11012" width="9.140625" style="6"/>
    <col min="11013" max="11013" width="9.7109375" style="6" customWidth="1"/>
    <col min="11014" max="11023" width="7.7109375" style="6" customWidth="1"/>
    <col min="11024" max="11268" width="9.140625" style="6"/>
    <col min="11269" max="11269" width="9.7109375" style="6" customWidth="1"/>
    <col min="11270" max="11279" width="7.7109375" style="6" customWidth="1"/>
    <col min="11280" max="11524" width="9.140625" style="6"/>
    <col min="11525" max="11525" width="9.7109375" style="6" customWidth="1"/>
    <col min="11526" max="11535" width="7.7109375" style="6" customWidth="1"/>
    <col min="11536" max="11780" width="9.140625" style="6"/>
    <col min="11781" max="11781" width="9.7109375" style="6" customWidth="1"/>
    <col min="11782" max="11791" width="7.7109375" style="6" customWidth="1"/>
    <col min="11792" max="12036" width="9.140625" style="6"/>
    <col min="12037" max="12037" width="9.7109375" style="6" customWidth="1"/>
    <col min="12038" max="12047" width="7.7109375" style="6" customWidth="1"/>
    <col min="12048" max="12292" width="9.140625" style="6"/>
    <col min="12293" max="12293" width="9.7109375" style="6" customWidth="1"/>
    <col min="12294" max="12303" width="7.7109375" style="6" customWidth="1"/>
    <col min="12304" max="12548" width="9.140625" style="6"/>
    <col min="12549" max="12549" width="9.7109375" style="6" customWidth="1"/>
    <col min="12550" max="12559" width="7.7109375" style="6" customWidth="1"/>
    <col min="12560" max="12804" width="9.140625" style="6"/>
    <col min="12805" max="12805" width="9.7109375" style="6" customWidth="1"/>
    <col min="12806" max="12815" width="7.7109375" style="6" customWidth="1"/>
    <col min="12816" max="13060" width="9.140625" style="6"/>
    <col min="13061" max="13061" width="9.7109375" style="6" customWidth="1"/>
    <col min="13062" max="13071" width="7.7109375" style="6" customWidth="1"/>
    <col min="13072" max="13316" width="9.140625" style="6"/>
    <col min="13317" max="13317" width="9.7109375" style="6" customWidth="1"/>
    <col min="13318" max="13327" width="7.7109375" style="6" customWidth="1"/>
    <col min="13328" max="13572" width="9.140625" style="6"/>
    <col min="13573" max="13573" width="9.7109375" style="6" customWidth="1"/>
    <col min="13574" max="13583" width="7.7109375" style="6" customWidth="1"/>
    <col min="13584" max="13828" width="9.140625" style="6"/>
    <col min="13829" max="13829" width="9.7109375" style="6" customWidth="1"/>
    <col min="13830" max="13839" width="7.7109375" style="6" customWidth="1"/>
    <col min="13840" max="14084" width="9.140625" style="6"/>
    <col min="14085" max="14085" width="9.7109375" style="6" customWidth="1"/>
    <col min="14086" max="14095" width="7.7109375" style="6" customWidth="1"/>
    <col min="14096" max="14340" width="9.140625" style="6"/>
    <col min="14341" max="14341" width="9.7109375" style="6" customWidth="1"/>
    <col min="14342" max="14351" width="7.7109375" style="6" customWidth="1"/>
    <col min="14352" max="14596" width="9.140625" style="6"/>
    <col min="14597" max="14597" width="9.7109375" style="6" customWidth="1"/>
    <col min="14598" max="14607" width="7.7109375" style="6" customWidth="1"/>
    <col min="14608" max="14852" width="9.140625" style="6"/>
    <col min="14853" max="14853" width="9.7109375" style="6" customWidth="1"/>
    <col min="14854" max="14863" width="7.7109375" style="6" customWidth="1"/>
    <col min="14864" max="15108" width="9.140625" style="6"/>
    <col min="15109" max="15109" width="9.7109375" style="6" customWidth="1"/>
    <col min="15110" max="15119" width="7.7109375" style="6" customWidth="1"/>
    <col min="15120" max="15364" width="9.140625" style="6"/>
    <col min="15365" max="15365" width="9.7109375" style="6" customWidth="1"/>
    <col min="15366" max="15375" width="7.7109375" style="6" customWidth="1"/>
    <col min="15376" max="15620" width="9.140625" style="6"/>
    <col min="15621" max="15621" width="9.7109375" style="6" customWidth="1"/>
    <col min="15622" max="15631" width="7.7109375" style="6" customWidth="1"/>
    <col min="15632" max="15876" width="9.140625" style="6"/>
    <col min="15877" max="15877" width="9.7109375" style="6" customWidth="1"/>
    <col min="15878" max="15887" width="7.7109375" style="6" customWidth="1"/>
    <col min="15888" max="16132" width="9.140625" style="6"/>
    <col min="16133" max="16133" width="9.7109375" style="6" customWidth="1"/>
    <col min="16134" max="16143" width="7.7109375" style="6" customWidth="1"/>
    <col min="16144" max="16384" width="9.140625" style="6"/>
  </cols>
  <sheetData>
    <row r="1" spans="1:28" x14ac:dyDescent="0.2">
      <c r="A1" s="390" t="s">
        <v>627</v>
      </c>
      <c r="B1" s="391"/>
    </row>
    <row r="2" spans="1:28" ht="6.75" customHeight="1" thickBot="1" x14ac:dyDescent="0.25">
      <c r="B2" s="391"/>
    </row>
    <row r="3" spans="1:28" ht="14.25" thickTop="1" thickBot="1" x14ac:dyDescent="0.25">
      <c r="A3" s="393"/>
      <c r="B3" s="394" t="s">
        <v>25</v>
      </c>
      <c r="C3" s="395" t="s">
        <v>5</v>
      </c>
      <c r="D3" s="395" t="s">
        <v>6</v>
      </c>
      <c r="E3" s="395" t="s">
        <v>7</v>
      </c>
      <c r="F3" s="396" t="s">
        <v>8</v>
      </c>
      <c r="G3" s="396" t="s">
        <v>9</v>
      </c>
      <c r="H3" s="396" t="s">
        <v>10</v>
      </c>
      <c r="I3" s="396" t="s">
        <v>11</v>
      </c>
      <c r="J3" s="396" t="s">
        <v>12</v>
      </c>
      <c r="K3" s="396" t="s">
        <v>13</v>
      </c>
      <c r="L3" s="396" t="s">
        <v>14</v>
      </c>
      <c r="M3" s="396" t="s">
        <v>15</v>
      </c>
      <c r="N3" s="396" t="s">
        <v>16</v>
      </c>
      <c r="O3" s="396" t="s">
        <v>17</v>
      </c>
      <c r="P3" s="396" t="s">
        <v>35</v>
      </c>
      <c r="Q3" s="396" t="s">
        <v>542</v>
      </c>
      <c r="R3" s="396" t="s">
        <v>544</v>
      </c>
      <c r="S3" s="396" t="s">
        <v>551</v>
      </c>
      <c r="T3" s="396" t="s">
        <v>561</v>
      </c>
      <c r="U3" s="396" t="s">
        <v>586</v>
      </c>
      <c r="V3" s="396" t="s">
        <v>590</v>
      </c>
      <c r="W3" s="396" t="s">
        <v>593</v>
      </c>
      <c r="X3" s="396" t="s">
        <v>596</v>
      </c>
      <c r="Y3" s="396" t="s">
        <v>603</v>
      </c>
      <c r="Z3" s="396" t="s">
        <v>606</v>
      </c>
      <c r="AA3" s="396" t="s">
        <v>611</v>
      </c>
      <c r="AB3" s="673" t="s">
        <v>618</v>
      </c>
    </row>
    <row r="4" spans="1:28" ht="13.5" thickTop="1" x14ac:dyDescent="0.2">
      <c r="A4" s="398">
        <v>18</v>
      </c>
      <c r="B4" s="399">
        <v>0.43103322113273818</v>
      </c>
      <c r="C4" s="400">
        <f>+'vš_věk x dfst'!J6</f>
        <v>0.21968901298767834</v>
      </c>
      <c r="D4" s="400">
        <v>9.2700000000000005E-2</v>
      </c>
      <c r="E4" s="400">
        <v>1.8518518518518519E-3</v>
      </c>
      <c r="F4" s="401">
        <v>3.35651449005112E-3</v>
      </c>
      <c r="G4" s="401">
        <v>3.8465602874352745E-3</v>
      </c>
      <c r="H4" s="401">
        <v>3.3312468835867133E-3</v>
      </c>
      <c r="I4" s="401">
        <v>5.0254893647822809E-3</v>
      </c>
      <c r="J4" s="401">
        <v>5.5919861608400047E-3</v>
      </c>
      <c r="K4" s="401">
        <v>5.4916662444906023E-3</v>
      </c>
      <c r="L4" s="402">
        <v>5.6390416612795754E-3</v>
      </c>
      <c r="M4" s="402">
        <v>5.137099908062972E-3</v>
      </c>
      <c r="N4" s="402">
        <v>4.509268517806325E-3</v>
      </c>
      <c r="O4" s="402">
        <f>+'vš_věk x dfst'!J114</f>
        <v>4.7778874629812486E-3</v>
      </c>
      <c r="P4" s="402">
        <f>+'vš_věk x dfst'!B132</f>
        <v>3.4830000000000139E-3</v>
      </c>
      <c r="Q4" s="402">
        <f>+'vš_věk x dfst'!J132</f>
        <v>4.6310000000000517E-3</v>
      </c>
      <c r="R4" s="402">
        <f>+'vš_věk x dfst'!B150</f>
        <v>5.0000000000000001E-3</v>
      </c>
      <c r="S4" s="402">
        <f>+'vš_věk x dfst'!J150</f>
        <v>5.5343713589662115E-3</v>
      </c>
      <c r="T4" s="402">
        <f>+'vš_věk x dfst'!B168</f>
        <v>6.4000000000000003E-3</v>
      </c>
      <c r="U4" s="402">
        <f>+'vš_věk x dfst'!J168</f>
        <v>6.1000000000000004E-3</v>
      </c>
      <c r="V4" s="402">
        <f>+'vš_věk x dfst'!B186</f>
        <v>6.6E-3</v>
      </c>
      <c r="W4" s="402">
        <f>+'vš_věk x dfst'!J186</f>
        <v>7.7999999999999996E-3</v>
      </c>
      <c r="X4" s="402">
        <f>+'vš_věk x dfst'!B204</f>
        <v>8.0000000000000002E-3</v>
      </c>
      <c r="Y4" s="402">
        <f>+'vš_věk x dfst'!J204</f>
        <v>8.6E-3</v>
      </c>
      <c r="Z4" s="402">
        <f>+'vš_věk x dfst'!B222</f>
        <v>8.9999999999999993E-3</v>
      </c>
      <c r="AA4" s="402">
        <f>+'vš_věk x dfst'!J222</f>
        <v>9.4999999999999998E-3</v>
      </c>
      <c r="AB4" s="373">
        <f>+'vš_věk x dfst'!B240</f>
        <v>9.7000000000000003E-3</v>
      </c>
    </row>
    <row r="5" spans="1:28" x14ac:dyDescent="0.2">
      <c r="A5" s="404">
        <v>19</v>
      </c>
      <c r="B5" s="405">
        <v>0.27694643641153227</v>
      </c>
      <c r="C5" s="406">
        <f>+'vš_věk x dfst'!J7</f>
        <v>0.26075261930988547</v>
      </c>
      <c r="D5" s="406">
        <v>0.4536</v>
      </c>
      <c r="E5" s="406">
        <v>0.44995863344364417</v>
      </c>
      <c r="F5" s="407">
        <v>0.45650790865015495</v>
      </c>
      <c r="G5" s="407">
        <v>0.46011835570115189</v>
      </c>
      <c r="H5" s="407">
        <v>0.47048027244082796</v>
      </c>
      <c r="I5" s="407">
        <v>0.47274757773480724</v>
      </c>
      <c r="J5" s="407">
        <v>0.47214064448646254</v>
      </c>
      <c r="K5" s="407">
        <v>0.47289123055879223</v>
      </c>
      <c r="L5" s="331">
        <v>0.46197376403544538</v>
      </c>
      <c r="M5" s="331">
        <v>0.46549518041456966</v>
      </c>
      <c r="N5" s="331">
        <v>0.43532228290131547</v>
      </c>
      <c r="O5" s="331">
        <f>+'vš_věk x dfst'!J115</f>
        <v>0.43363277393879607</v>
      </c>
      <c r="P5" s="331">
        <f>+'vš_věk x dfst'!B133</f>
        <v>0.41340900000000003</v>
      </c>
      <c r="Q5" s="331">
        <f>+'vš_věk x dfst'!J133</f>
        <v>0.39259300000000003</v>
      </c>
      <c r="R5" s="331">
        <f>+'vš_věk x dfst'!B151</f>
        <v>0.40089999999999998</v>
      </c>
      <c r="S5" s="331">
        <f>+'vš_věk x dfst'!J151</f>
        <v>0.42549782861984958</v>
      </c>
      <c r="T5" s="331">
        <f>+'vš_věk x dfst'!B169</f>
        <v>0.44040000000000001</v>
      </c>
      <c r="U5" s="331">
        <f>+'vš_věk x dfst'!J169</f>
        <v>0.45200000000000001</v>
      </c>
      <c r="V5" s="331">
        <f>+'vš_věk x dfst'!B187</f>
        <v>0.45810000000000001</v>
      </c>
      <c r="W5" s="331">
        <f>+'vš_věk x dfst'!J187</f>
        <v>0.46810000000000002</v>
      </c>
      <c r="X5" s="331">
        <f>+'vš_věk x dfst'!B205</f>
        <v>0.47489999999999999</v>
      </c>
      <c r="Y5" s="331">
        <f>+'vš_věk x dfst'!J205</f>
        <v>0.47139999999999999</v>
      </c>
      <c r="Z5" s="331">
        <f>+'vš_věk x dfst'!B223</f>
        <v>0.4743</v>
      </c>
      <c r="AA5" s="331">
        <f>+'vš_věk x dfst'!J223</f>
        <v>0.48570000000000002</v>
      </c>
      <c r="AB5" s="375">
        <f>+'vš_věk x dfst'!B241</f>
        <v>0.49709999999999999</v>
      </c>
    </row>
    <row r="6" spans="1:28" x14ac:dyDescent="0.2">
      <c r="A6" s="404">
        <v>20</v>
      </c>
      <c r="B6" s="405">
        <v>0.12026196399824382</v>
      </c>
      <c r="C6" s="406">
        <f>+'vš_věk x dfst'!J8</f>
        <v>0.17201629223557138</v>
      </c>
      <c r="D6" s="406">
        <v>0.15870000000000001</v>
      </c>
      <c r="E6" s="406">
        <v>0.23582587113101031</v>
      </c>
      <c r="F6" s="407">
        <v>0.21314963911984702</v>
      </c>
      <c r="G6" s="407">
        <v>0.22379794991017646</v>
      </c>
      <c r="H6" s="407">
        <v>0.22869964671808529</v>
      </c>
      <c r="I6" s="407">
        <v>0.22362393621971521</v>
      </c>
      <c r="J6" s="407">
        <v>0.22283461399203441</v>
      </c>
      <c r="K6" s="407">
        <v>0.22361821774152693</v>
      </c>
      <c r="L6" s="331">
        <v>0.23297098926891366</v>
      </c>
      <c r="M6" s="331">
        <v>0.22762470736538809</v>
      </c>
      <c r="N6" s="331">
        <v>0.25153834320436902</v>
      </c>
      <c r="O6" s="331">
        <f>+'vš_věk x dfst'!J116</f>
        <v>0.24906219151036549</v>
      </c>
      <c r="P6" s="331">
        <f>+'vš_věk x dfst'!B134</f>
        <v>0.258913</v>
      </c>
      <c r="Q6" s="331">
        <f>+'vš_věk x dfst'!J134</f>
        <v>0.25536599999999998</v>
      </c>
      <c r="R6" s="331">
        <f>+'vš_věk x dfst'!B152</f>
        <v>0.2422</v>
      </c>
      <c r="S6" s="331">
        <f>+'vš_věk x dfst'!J152</f>
        <v>0.24173816333015571</v>
      </c>
      <c r="T6" s="331">
        <f>+'vš_věk x dfst'!B170</f>
        <v>0.2495</v>
      </c>
      <c r="U6" s="331">
        <f>+'vš_věk x dfst'!J170</f>
        <v>0.251</v>
      </c>
      <c r="V6" s="331">
        <f>+'vš_věk x dfst'!B188</f>
        <v>0.24349999999999999</v>
      </c>
      <c r="W6" s="331">
        <f>+'vš_věk x dfst'!J188</f>
        <v>0.2477</v>
      </c>
      <c r="X6" s="331">
        <f>+'vš_věk x dfst'!B206</f>
        <v>0.24679999999999999</v>
      </c>
      <c r="Y6" s="331">
        <f>+'vš_věk x dfst'!J206</f>
        <v>0.24379999999999999</v>
      </c>
      <c r="Z6" s="331">
        <f>+'vš_věk x dfst'!B224</f>
        <v>0.2452</v>
      </c>
      <c r="AA6" s="331">
        <f>+'vš_věk x dfst'!J224</f>
        <v>0.24299999999999999</v>
      </c>
      <c r="AB6" s="375">
        <f>+'vš_věk x dfst'!B242</f>
        <v>0.2417</v>
      </c>
    </row>
    <row r="7" spans="1:28" x14ac:dyDescent="0.2">
      <c r="A7" s="404">
        <v>21</v>
      </c>
      <c r="B7" s="405">
        <v>6.192375237816479E-2</v>
      </c>
      <c r="C7" s="406">
        <f>+'vš_věk x dfst'!J9</f>
        <v>0.1189896764607936</v>
      </c>
      <c r="D7" s="406">
        <v>9.1200000000000003E-2</v>
      </c>
      <c r="E7" s="406">
        <v>9.8853903056258519E-2</v>
      </c>
      <c r="F7" s="407">
        <v>0.10395322817717099</v>
      </c>
      <c r="G7" s="407">
        <v>0.10075029060551621</v>
      </c>
      <c r="H7" s="407">
        <v>9.8473355329464565E-2</v>
      </c>
      <c r="I7" s="407">
        <v>9.623915538689029E-2</v>
      </c>
      <c r="J7" s="407">
        <v>9.7024982902200574E-2</v>
      </c>
      <c r="K7" s="407">
        <v>9.7613860884543296E-2</v>
      </c>
      <c r="L7" s="331">
        <v>9.7226228008234786E-2</v>
      </c>
      <c r="M7" s="331">
        <v>0.10252400314671065</v>
      </c>
      <c r="N7" s="331">
        <v>0.10566494885008851</v>
      </c>
      <c r="O7" s="331">
        <f>+'vš_věk x dfst'!J117</f>
        <v>0.11353405725567633</v>
      </c>
      <c r="P7" s="331">
        <f>+'vš_věk x dfst'!B135</f>
        <v>0.11442099999999999</v>
      </c>
      <c r="Q7" s="331">
        <f>+'vš_věk x dfst'!J135</f>
        <v>0.121367</v>
      </c>
      <c r="R7" s="331">
        <f>+'vš_věk x dfst'!B153</f>
        <v>0.1197</v>
      </c>
      <c r="S7" s="331">
        <f>+'vš_věk x dfst'!J153</f>
        <v>0.11107139074250609</v>
      </c>
      <c r="T7" s="331">
        <f>+'vš_věk x dfst'!B171</f>
        <v>0.10299999999999999</v>
      </c>
      <c r="U7" s="331">
        <f>+'vš_věk x dfst'!J171</f>
        <v>0.104</v>
      </c>
      <c r="V7" s="331">
        <f>+'vš_věk x dfst'!B189</f>
        <v>0.10580000000000001</v>
      </c>
      <c r="W7" s="331">
        <f>+'vš_věk x dfst'!J189</f>
        <v>0.1012</v>
      </c>
      <c r="X7" s="331">
        <f>+'vš_věk x dfst'!B207</f>
        <v>9.9599999999999994E-2</v>
      </c>
      <c r="Y7" s="331">
        <f>+'vš_věk x dfst'!J207</f>
        <v>0.10100000000000001</v>
      </c>
      <c r="Z7" s="331">
        <f>+'vš_věk x dfst'!B225</f>
        <v>9.7299999999999998E-2</v>
      </c>
      <c r="AA7" s="331">
        <f>+'vš_věk x dfst'!J225</f>
        <v>9.1399999999999995E-2</v>
      </c>
      <c r="AB7" s="375">
        <f>+'vš_věk x dfst'!B243</f>
        <v>8.9899999999999994E-2</v>
      </c>
    </row>
    <row r="8" spans="1:28" x14ac:dyDescent="0.2">
      <c r="A8" s="404">
        <v>22</v>
      </c>
      <c r="B8" s="405">
        <v>3.7684765110493193E-2</v>
      </c>
      <c r="C8" s="406">
        <f>+'vš_věk x dfst'!J10</f>
        <v>7.4275687168583654E-2</v>
      </c>
      <c r="D8" s="406">
        <v>6.54E-2</v>
      </c>
      <c r="E8" s="406">
        <v>6.481166050223866E-2</v>
      </c>
      <c r="F8" s="407">
        <v>6.0757299870565801E-2</v>
      </c>
      <c r="G8" s="407">
        <v>6.8931628447638171E-2</v>
      </c>
      <c r="H8" s="407">
        <v>6.5829257683616416E-2</v>
      </c>
      <c r="I8" s="407">
        <v>6.7358102309036577E-2</v>
      </c>
      <c r="J8" s="407">
        <v>6.7224524278875167E-2</v>
      </c>
      <c r="K8" s="407">
        <v>6.9294290490906324E-2</v>
      </c>
      <c r="L8" s="331">
        <v>6.9548180489114764E-2</v>
      </c>
      <c r="M8" s="331">
        <v>7.1246457581013584E-2</v>
      </c>
      <c r="N8" s="331">
        <v>7.6792169833089799E-2</v>
      </c>
      <c r="O8" s="331">
        <f>+'vš_věk x dfst'!J118</f>
        <v>7.5320829220138275E-2</v>
      </c>
      <c r="P8" s="331">
        <f>+'vš_věk x dfst'!B136</f>
        <v>8.0181000000000002E-2</v>
      </c>
      <c r="Q8" s="331">
        <f>+'vš_věk x dfst'!J136</f>
        <v>8.1558000000000005E-2</v>
      </c>
      <c r="R8" s="331">
        <f>+'vš_věk x dfst'!B154</f>
        <v>8.5099999999999995E-2</v>
      </c>
      <c r="S8" s="331">
        <f>+'vš_věk x dfst'!J154</f>
        <v>7.745471877979028E-2</v>
      </c>
      <c r="T8" s="331">
        <f>+'vš_věk x dfst'!B172</f>
        <v>6.7500000000000004E-2</v>
      </c>
      <c r="U8" s="331">
        <f>+'vš_věk x dfst'!J172</f>
        <v>6.2100000000000002E-2</v>
      </c>
      <c r="V8" s="331">
        <f>+'vš_věk x dfst'!B190</f>
        <v>6.5600000000000006E-2</v>
      </c>
      <c r="W8" s="331">
        <f>+'vš_věk x dfst'!J190</f>
        <v>6.0600000000000001E-2</v>
      </c>
      <c r="X8" s="331">
        <f>+'vš_věk x dfst'!B208</f>
        <v>5.8500000000000003E-2</v>
      </c>
      <c r="Y8" s="331">
        <f>+'vš_věk x dfst'!J208</f>
        <v>6.4000000000000001E-2</v>
      </c>
      <c r="Z8" s="331">
        <f>+'vš_věk x dfst'!B226</f>
        <v>6.2799999999999995E-2</v>
      </c>
      <c r="AA8" s="331">
        <f>+'vš_věk x dfst'!J226</f>
        <v>6.0499999999999998E-2</v>
      </c>
      <c r="AB8" s="375">
        <f>+'vš_věk x dfst'!B244</f>
        <v>5.6800000000000003E-2</v>
      </c>
    </row>
    <row r="9" spans="1:28" x14ac:dyDescent="0.2">
      <c r="A9" s="404">
        <v>23</v>
      </c>
      <c r="B9" s="405">
        <v>2.5025611005414897E-2</v>
      </c>
      <c r="C9" s="406">
        <f>+'vš_věk x dfst'!J11</f>
        <v>4.8838281630248226E-2</v>
      </c>
      <c r="D9" s="406">
        <v>4.41E-2</v>
      </c>
      <c r="E9" s="406">
        <v>4.8800369865680357E-2</v>
      </c>
      <c r="F9" s="407">
        <v>4.7715156966412903E-2</v>
      </c>
      <c r="G9" s="407">
        <v>4.1530170136320405E-2</v>
      </c>
      <c r="H9" s="407">
        <v>4.3391082018693169E-2</v>
      </c>
      <c r="I9" s="407">
        <v>4.2571892417301749E-2</v>
      </c>
      <c r="J9" s="407">
        <v>4.2563463008408096E-2</v>
      </c>
      <c r="K9" s="407">
        <v>4.2879578499417398E-2</v>
      </c>
      <c r="L9" s="331">
        <v>4.4764244298799591E-2</v>
      </c>
      <c r="M9" s="331">
        <v>4.4916451041163145E-2</v>
      </c>
      <c r="N9" s="331">
        <v>4.5631105299592356E-2</v>
      </c>
      <c r="O9" s="331">
        <f>+'vš_věk x dfst'!J119</f>
        <v>4.6495557749259675E-2</v>
      </c>
      <c r="P9" s="331">
        <f>+'vš_věk x dfst'!B137</f>
        <v>4.7744000000000002E-2</v>
      </c>
      <c r="Q9" s="331">
        <f>+'vš_věk x dfst'!J137</f>
        <v>5.5384000000000003E-2</v>
      </c>
      <c r="R9" s="331">
        <f>+'vš_věk x dfst'!B155</f>
        <v>5.2999999999999999E-2</v>
      </c>
      <c r="S9" s="331">
        <f>+'vš_věk x dfst'!J155</f>
        <v>5.0325707022561172E-2</v>
      </c>
      <c r="T9" s="331">
        <f>+'vš_věk x dfst'!B173</f>
        <v>4.48E-2</v>
      </c>
      <c r="U9" s="331">
        <f>+'vš_věk x dfst'!J173</f>
        <v>3.9800000000000002E-2</v>
      </c>
      <c r="V9" s="331">
        <f>+'vš_věk x dfst'!B191</f>
        <v>3.7900000000000003E-2</v>
      </c>
      <c r="W9" s="331">
        <f>+'vš_věk x dfst'!J191</f>
        <v>3.8199999999999998E-2</v>
      </c>
      <c r="X9" s="331">
        <f>+'vš_věk x dfst'!B209</f>
        <v>3.6299999999999999E-2</v>
      </c>
      <c r="Y9" s="331">
        <f>+'vš_věk x dfst'!J209</f>
        <v>3.78E-2</v>
      </c>
      <c r="Z9" s="331">
        <f>+'vš_věk x dfst'!B227</f>
        <v>4.0300000000000002E-2</v>
      </c>
      <c r="AA9" s="331">
        <f>+'vš_věk x dfst'!J227</f>
        <v>3.9300000000000002E-2</v>
      </c>
      <c r="AB9" s="375">
        <f>+'vš_věk x dfst'!B245</f>
        <v>3.5999999999999997E-2</v>
      </c>
    </row>
    <row r="10" spans="1:28" x14ac:dyDescent="0.2">
      <c r="A10" s="404">
        <v>24</v>
      </c>
      <c r="B10" s="405">
        <v>1.4945851017122787E-2</v>
      </c>
      <c r="C10" s="406">
        <f>+'vš_věk x dfst'!J12</f>
        <v>3.1764736019673646E-2</v>
      </c>
      <c r="D10" s="406">
        <v>2.8899999999999999E-2</v>
      </c>
      <c r="E10" s="406">
        <v>3.2241580689118164E-2</v>
      </c>
      <c r="F10" s="407">
        <v>3.7470109470635997E-2</v>
      </c>
      <c r="G10" s="407">
        <v>2.8976011835570116E-2</v>
      </c>
      <c r="H10" s="407">
        <v>2.406136284068365E-2</v>
      </c>
      <c r="I10" s="407">
        <v>2.7567807914628727E-2</v>
      </c>
      <c r="J10" s="407">
        <v>2.5536066299231604E-2</v>
      </c>
      <c r="K10" s="407">
        <v>2.7397537869192967E-2</v>
      </c>
      <c r="L10" s="331">
        <v>2.8036081910312385E-2</v>
      </c>
      <c r="M10" s="331">
        <v>2.8055010568019182E-2</v>
      </c>
      <c r="N10" s="331">
        <v>2.850742250596109E-2</v>
      </c>
      <c r="O10" s="331">
        <f>+'vš_věk x dfst'!J120</f>
        <v>2.8983218163869725E-2</v>
      </c>
      <c r="P10" s="331">
        <f>+'vš_věk x dfst'!B138</f>
        <v>3.0522000000000001E-2</v>
      </c>
      <c r="Q10" s="331">
        <f>+'vš_věk x dfst'!J138</f>
        <v>3.2780999999999998E-2</v>
      </c>
      <c r="R10" s="331">
        <f>+'vš_věk x dfst'!B156</f>
        <v>3.5499999999999997E-2</v>
      </c>
      <c r="S10" s="331">
        <f>+'vš_věk x dfst'!J156</f>
        <v>3.2451541150301876E-2</v>
      </c>
      <c r="T10" s="331">
        <f>+'vš_věk x dfst'!B174</f>
        <v>3.2800000000000003E-2</v>
      </c>
      <c r="U10" s="331">
        <f>+'vš_věk x dfst'!J174</f>
        <v>3.1099999999999999E-2</v>
      </c>
      <c r="V10" s="331">
        <f>+'vš_věk x dfst'!B192</f>
        <v>3.0700000000000002E-2</v>
      </c>
      <c r="W10" s="331">
        <f>+'vš_věk x dfst'!J192</f>
        <v>2.9000000000000001E-2</v>
      </c>
      <c r="X10" s="331">
        <f>+'vš_věk x dfst'!B210</f>
        <v>2.8400000000000002E-2</v>
      </c>
      <c r="Y10" s="331">
        <f>+'vš_věk x dfst'!J210</f>
        <v>2.9600000000000001E-2</v>
      </c>
      <c r="Z10" s="331">
        <f>+'vš_věk x dfst'!B228</f>
        <v>2.9399999999999999E-2</v>
      </c>
      <c r="AA10" s="331">
        <f>+'vš_věk x dfst'!J228</f>
        <v>2.9399999999999999E-2</v>
      </c>
      <c r="AB10" s="375">
        <f>+'vš_věk x dfst'!B246</f>
        <v>2.93E-2</v>
      </c>
    </row>
    <row r="11" spans="1:28" x14ac:dyDescent="0.2">
      <c r="A11" s="404">
        <v>25</v>
      </c>
      <c r="B11" s="405">
        <v>9.3297234011415191E-3</v>
      </c>
      <c r="C11" s="406">
        <f>+'vš_věk x dfst'!J13</f>
        <v>1.9648026231523938E-2</v>
      </c>
      <c r="D11" s="406">
        <v>1.7100000000000001E-2</v>
      </c>
      <c r="E11" s="406">
        <v>1.9685614171695544E-2</v>
      </c>
      <c r="F11" s="407">
        <v>2.1652809161310099E-2</v>
      </c>
      <c r="G11" s="407">
        <v>1.84296734650745E-2</v>
      </c>
      <c r="H11" s="407">
        <v>1.4757211512958975E-2</v>
      </c>
      <c r="I11" s="407">
        <v>1.3535731643004124E-2</v>
      </c>
      <c r="J11" s="407">
        <v>1.4915315605262098E-2</v>
      </c>
      <c r="K11" s="407">
        <v>1.380009119002989E-2</v>
      </c>
      <c r="L11" s="331">
        <v>1.5037444430078867E-2</v>
      </c>
      <c r="M11" s="331">
        <v>1.5108002312642763E-2</v>
      </c>
      <c r="N11" s="331">
        <v>1.5143065918006314E-2</v>
      </c>
      <c r="O11" s="331">
        <f>+'vš_věk x dfst'!J121</f>
        <v>1.542941757156961E-2</v>
      </c>
      <c r="P11" s="331">
        <f>+'vš_věk x dfst'!B139</f>
        <v>1.6556000000000001E-2</v>
      </c>
      <c r="Q11" s="331">
        <f>+'vš_věk x dfst'!J139</f>
        <v>1.7742000000000001E-2</v>
      </c>
      <c r="R11" s="331">
        <f>+'vš_věk x dfst'!B157</f>
        <v>1.84E-2</v>
      </c>
      <c r="S11" s="331">
        <f>+'vš_věk x dfst'!J157</f>
        <v>1.9145217667619955E-2</v>
      </c>
      <c r="T11" s="331">
        <f>+'vš_věk x dfst'!B175</f>
        <v>1.8100000000000002E-2</v>
      </c>
      <c r="U11" s="331">
        <f>+'vš_věk x dfst'!J175</f>
        <v>1.89E-2</v>
      </c>
      <c r="V11" s="331">
        <f>+'vš_věk x dfst'!B193</f>
        <v>1.9599999999999999E-2</v>
      </c>
      <c r="W11" s="331">
        <f>+'vš_věk x dfst'!J193</f>
        <v>1.77E-2</v>
      </c>
      <c r="X11" s="331">
        <f>+'vš_věk x dfst'!B211</f>
        <v>1.6400000000000001E-2</v>
      </c>
      <c r="Y11" s="331">
        <f>+'vš_věk x dfst'!J211</f>
        <v>1.8499999999999999E-2</v>
      </c>
      <c r="Z11" s="331">
        <f>+'vš_věk x dfst'!B229</f>
        <v>1.7600000000000001E-2</v>
      </c>
      <c r="AA11" s="331">
        <f>+'vš_věk x dfst'!J229</f>
        <v>1.6799999999999999E-2</v>
      </c>
      <c r="AB11" s="375">
        <f>+'vš_věk x dfst'!B247</f>
        <v>1.78E-2</v>
      </c>
    </row>
    <row r="12" spans="1:28" x14ac:dyDescent="0.2">
      <c r="A12" s="404">
        <v>26</v>
      </c>
      <c r="B12" s="405">
        <v>5.0307332064978777E-3</v>
      </c>
      <c r="C12" s="406">
        <f>+'vš_věk x dfst'!J14</f>
        <v>1.2910828188641546E-2</v>
      </c>
      <c r="D12" s="406">
        <v>1.316E-2</v>
      </c>
      <c r="E12" s="406">
        <v>1.208146778275258E-2</v>
      </c>
      <c r="F12" s="407">
        <v>1.2910514884935198E-2</v>
      </c>
      <c r="G12" s="407">
        <v>1.0504068477227095E-2</v>
      </c>
      <c r="H12" s="407">
        <v>9.1662334631175801E-3</v>
      </c>
      <c r="I12" s="407">
        <v>7.9311735448312944E-3</v>
      </c>
      <c r="J12" s="407">
        <v>7.6437220903568413E-3</v>
      </c>
      <c r="K12" s="407">
        <v>7.6194336085921273E-3</v>
      </c>
      <c r="L12" s="331">
        <v>7.0015614277615891E-3</v>
      </c>
      <c r="M12" s="331">
        <v>6.7578454510127291E-3</v>
      </c>
      <c r="N12" s="331">
        <v>6.8360126144142788E-3</v>
      </c>
      <c r="O12" s="331">
        <f>+'vš_věk x dfst'!J122</f>
        <v>6.2586377097729583E-3</v>
      </c>
      <c r="P12" s="331">
        <f>+'vš_věk x dfst'!B140</f>
        <v>6.4099999999999999E-3</v>
      </c>
      <c r="Q12" s="331">
        <f>+'vš_věk x dfst'!J140</f>
        <v>6.8690000000000001E-3</v>
      </c>
      <c r="R12" s="331">
        <f>+'vš_věk x dfst'!B158</f>
        <v>7.1000000000000004E-3</v>
      </c>
      <c r="S12" s="331">
        <f>+'vš_věk x dfst'!J158</f>
        <v>6.580341065565088E-3</v>
      </c>
      <c r="T12" s="331">
        <f>+'vš_věk x dfst'!B176</f>
        <v>6.6E-3</v>
      </c>
      <c r="U12" s="331">
        <f>+'vš_věk x dfst'!J176</f>
        <v>5.7999999999999996E-3</v>
      </c>
      <c r="V12" s="331">
        <f>+'vš_věk x dfst'!B194</f>
        <v>5.5999999999999999E-3</v>
      </c>
      <c r="W12" s="331">
        <f>+'vš_věk x dfst'!J194</f>
        <v>4.5999999999999999E-3</v>
      </c>
      <c r="X12" s="331">
        <f>+'vš_věk x dfst'!B212</f>
        <v>4.1000000000000003E-3</v>
      </c>
      <c r="Y12" s="331">
        <f>+'vš_věk x dfst'!J212</f>
        <v>4.1000000000000003E-3</v>
      </c>
      <c r="Z12" s="331">
        <f>+'vš_věk x dfst'!B230</f>
        <v>4.0000000000000001E-3</v>
      </c>
      <c r="AA12" s="331">
        <f>+'vš_věk x dfst'!J230</f>
        <v>4.1999999999999997E-3</v>
      </c>
      <c r="AB12" s="375">
        <f>+'vš_věk x dfst'!B248</f>
        <v>3.8E-3</v>
      </c>
    </row>
    <row r="13" spans="1:28" x14ac:dyDescent="0.2">
      <c r="A13" s="404">
        <v>27</v>
      </c>
      <c r="B13" s="405">
        <v>3.8233572369383872E-3</v>
      </c>
      <c r="C13" s="406">
        <f>+'vš_věk x dfst'!J15</f>
        <v>8.9914696313753619E-3</v>
      </c>
      <c r="D13" s="406">
        <v>7.6E-3</v>
      </c>
      <c r="E13" s="406">
        <v>8.5409772240607352E-3</v>
      </c>
      <c r="F13" s="407">
        <v>8.8519842923897099E-3</v>
      </c>
      <c r="G13" s="407">
        <v>7.1119095424284047E-3</v>
      </c>
      <c r="H13" s="407">
        <v>6.9595476294040896E-3</v>
      </c>
      <c r="I13" s="407">
        <v>6.9281437744940898E-3</v>
      </c>
      <c r="J13" s="407">
        <v>6.2155529629480634E-3</v>
      </c>
      <c r="K13" s="407">
        <v>5.7449718830741171E-3</v>
      </c>
      <c r="L13" s="331">
        <v>5.3804612676406531E-3</v>
      </c>
      <c r="M13" s="331">
        <v>4.9191048935141746E-3</v>
      </c>
      <c r="N13" s="331">
        <v>4.3458195523421294E-3</v>
      </c>
      <c r="O13" s="331">
        <f>+'vš_věk x dfst'!J123</f>
        <v>4.086870681145118E-3</v>
      </c>
      <c r="P13" s="331">
        <f>+'vš_věk x dfst'!B141</f>
        <v>4.4539999999999996E-3</v>
      </c>
      <c r="Q13" s="331">
        <f>+'vš_věk x dfst'!J141</f>
        <v>4.5069999999999997E-3</v>
      </c>
      <c r="R13" s="331">
        <f>+'vš_věk x dfst'!B159</f>
        <v>4.7999999999999996E-3</v>
      </c>
      <c r="S13" s="331">
        <f>+'vš_věk x dfst'!J159</f>
        <v>4.8723652155492E-3</v>
      </c>
      <c r="T13" s="331">
        <f>+'vš_věk x dfst'!B177</f>
        <v>4.7000000000000002E-3</v>
      </c>
      <c r="U13" s="331">
        <f>+'vš_věk x dfst'!J177</f>
        <v>4.1000000000000003E-3</v>
      </c>
      <c r="V13" s="331">
        <f>+'vš_věk x dfst'!B195</f>
        <v>3.7000000000000002E-3</v>
      </c>
      <c r="W13" s="331">
        <f>+'vš_věk x dfst'!J195</f>
        <v>3.5000000000000001E-3</v>
      </c>
      <c r="X13" s="331">
        <f>+'vš_věk x dfst'!B213</f>
        <v>3.3999999999999998E-3</v>
      </c>
      <c r="Y13" s="331">
        <f>+'vš_věk x dfst'!J213</f>
        <v>2.5000000000000001E-3</v>
      </c>
      <c r="Z13" s="331">
        <f>+'vš_věk x dfst'!B231</f>
        <v>2.5999999999999999E-3</v>
      </c>
      <c r="AA13" s="331">
        <f>+'vš_věk x dfst'!J231</f>
        <v>2.5000000000000001E-3</v>
      </c>
      <c r="AB13" s="375">
        <f>+'vš_věk x dfst'!B249</f>
        <v>2.3999999999999998E-3</v>
      </c>
    </row>
    <row r="14" spans="1:28" x14ac:dyDescent="0.2">
      <c r="A14" s="404">
        <v>28</v>
      </c>
      <c r="B14" s="405">
        <v>2.5245133908971171E-3</v>
      </c>
      <c r="C14" s="406">
        <f>+'vš_věk x dfst'!J16</f>
        <v>5.930271281092297E-3</v>
      </c>
      <c r="D14" s="406">
        <v>5.7000000000000002E-3</v>
      </c>
      <c r="E14" s="406">
        <v>5.5358185711504772E-3</v>
      </c>
      <c r="F14" s="407">
        <v>6.5594629576815897E-3</v>
      </c>
      <c r="G14" s="407">
        <v>5.9917573708126379E-3</v>
      </c>
      <c r="H14" s="407">
        <v>5.4848873847590154E-3</v>
      </c>
      <c r="I14" s="407">
        <v>5.2012780874186983E-3</v>
      </c>
      <c r="J14" s="407">
        <v>5.7428490968338894E-3</v>
      </c>
      <c r="K14" s="407">
        <v>4.5088403667865647E-3</v>
      </c>
      <c r="L14" s="331">
        <v>4.1074500989567277E-3</v>
      </c>
      <c r="M14" s="331">
        <v>3.9144322177675417E-3</v>
      </c>
      <c r="N14" s="331">
        <v>3.3747404045842643E-3</v>
      </c>
      <c r="O14" s="331">
        <f>+'vš_věk x dfst'!J124</f>
        <v>3.2379072063178711E-3</v>
      </c>
      <c r="P14" s="331">
        <f>+'vš_věk x dfst'!B142</f>
        <v>3.532E-3</v>
      </c>
      <c r="Q14" s="331">
        <f>+'vš_věk x dfst'!J142</f>
        <v>3.64E-3</v>
      </c>
      <c r="R14" s="331">
        <f>+'vš_věk x dfst'!B160</f>
        <v>3.8E-3</v>
      </c>
      <c r="S14" s="331">
        <f>+'vš_věk x dfst'!J160</f>
        <v>3.4027115771634361E-3</v>
      </c>
      <c r="T14" s="331">
        <f>+'vš_věk x dfst'!B178</f>
        <v>3.3E-3</v>
      </c>
      <c r="U14" s="331">
        <f>+'vš_věk x dfst'!J178</f>
        <v>2.8E-3</v>
      </c>
      <c r="V14" s="331">
        <f>+'vš_věk x dfst'!B196</f>
        <v>3.0999999999999999E-3</v>
      </c>
      <c r="W14" s="331">
        <f>+'vš_věk x dfst'!J196</f>
        <v>2.3999999999999998E-3</v>
      </c>
      <c r="X14" s="331">
        <f>+'vš_věk x dfst'!B214</f>
        <v>2.5000000000000001E-3</v>
      </c>
      <c r="Y14" s="331">
        <f>+'vš_věk x dfst'!J214</f>
        <v>2.3E-3</v>
      </c>
      <c r="Z14" s="331">
        <f>+'vš_věk x dfst'!B232</f>
        <v>1.6999999999999999E-3</v>
      </c>
      <c r="AA14" s="331">
        <f>+'vš_věk x dfst'!J232</f>
        <v>1.9E-3</v>
      </c>
      <c r="AB14" s="375">
        <f>+'vš_věk x dfst'!B250</f>
        <v>1.6999999999999999E-3</v>
      </c>
    </row>
    <row r="15" spans="1:28" x14ac:dyDescent="0.2">
      <c r="A15" s="404">
        <v>29</v>
      </c>
      <c r="B15" s="405">
        <v>1.5549539001902533E-3</v>
      </c>
      <c r="C15" s="406">
        <f>+'vš_věk x dfst'!J17</f>
        <v>4.3036093962138481E-3</v>
      </c>
      <c r="D15" s="406">
        <v>3.8999999999999998E-3</v>
      </c>
      <c r="E15" s="406">
        <v>4.221822075141133E-3</v>
      </c>
      <c r="F15" s="407">
        <v>4.9031437158589802E-3</v>
      </c>
      <c r="G15" s="407">
        <v>5.3788439184191059E-3</v>
      </c>
      <c r="H15" s="407">
        <v>4.3497172683775558E-3</v>
      </c>
      <c r="I15" s="407">
        <v>4.3430155004291317E-3</v>
      </c>
      <c r="J15" s="407">
        <v>4.2241622078287803E-3</v>
      </c>
      <c r="K15" s="407">
        <v>4.0630224428795788E-3</v>
      </c>
      <c r="L15" s="331">
        <v>3.2620911197525585E-3</v>
      </c>
      <c r="M15" s="331">
        <v>2.7960230126911011E-3</v>
      </c>
      <c r="N15" s="331">
        <v>2.8940081532189844E-3</v>
      </c>
      <c r="O15" s="331">
        <f>+'vš_věk x dfst'!J125</f>
        <v>2.4185587364264583E-3</v>
      </c>
      <c r="P15" s="331">
        <f>+'vš_věk x dfst'!B143</f>
        <v>2.539E-3</v>
      </c>
      <c r="Q15" s="331">
        <f>+'vš_věk x dfst'!J143</f>
        <v>2.807E-3</v>
      </c>
      <c r="R15" s="331">
        <f>+'vš_věk x dfst'!B161</f>
        <v>2.8E-3</v>
      </c>
      <c r="S15" s="331">
        <f>+'vš_věk x dfst'!J161</f>
        <v>2.7009850651414044E-3</v>
      </c>
      <c r="T15" s="331">
        <f>+'vš_věk x dfst'!B179</f>
        <v>2.8999999999999998E-3</v>
      </c>
      <c r="U15" s="331">
        <f>+'vš_věk x dfst'!J179</f>
        <v>2.5999999999999999E-3</v>
      </c>
      <c r="V15" s="331">
        <f>+'vš_věk x dfst'!B197</f>
        <v>2.0999999999999999E-3</v>
      </c>
      <c r="W15" s="331">
        <f>+'vš_věk x dfst'!J197</f>
        <v>2E-3</v>
      </c>
      <c r="X15" s="331">
        <f>+'vš_věk x dfst'!B215</f>
        <v>2.2000000000000001E-3</v>
      </c>
      <c r="Y15" s="331">
        <f>+'vš_věk x dfst'!J215</f>
        <v>1.9E-3</v>
      </c>
      <c r="Z15" s="331">
        <f>+'vš_věk x dfst'!B233</f>
        <v>1.8E-3</v>
      </c>
      <c r="AA15" s="331">
        <f>+'vš_věk x dfst'!J233</f>
        <v>1.2999999999999999E-3</v>
      </c>
      <c r="AB15" s="375">
        <f>+'vš_věk x dfst'!B251</f>
        <v>1.5E-3</v>
      </c>
    </row>
    <row r="16" spans="1:28" x14ac:dyDescent="0.2">
      <c r="A16" s="411" t="s">
        <v>100</v>
      </c>
      <c r="B16" s="412">
        <v>9.9151178106249085E-3</v>
      </c>
      <c r="C16" s="413">
        <f>+'vš_věk x dfst'!J18</f>
        <v>2.1415580090683197E-2</v>
      </c>
      <c r="D16" s="413">
        <v>1.72E-2</v>
      </c>
      <c r="E16" s="413">
        <v>1.891911621569009E-2</v>
      </c>
      <c r="F16" s="414">
        <v>1.8679999999999999E-2</v>
      </c>
      <c r="G16" s="414">
        <v>2.4E-2</v>
      </c>
      <c r="H16" s="414">
        <v>2.5000000000000001E-2</v>
      </c>
      <c r="I16" s="414">
        <v>2.7E-2</v>
      </c>
      <c r="J16" s="414">
        <v>2.8000000000000001E-2</v>
      </c>
      <c r="K16" s="414">
        <v>2.4975935964334565E-2</v>
      </c>
      <c r="L16" s="337">
        <v>2.5052461983709435E-2</v>
      </c>
      <c r="M16" s="337">
        <v>2.1458291866890335E-2</v>
      </c>
      <c r="N16" s="337">
        <v>1.9440812245211891E-2</v>
      </c>
      <c r="O16" s="337">
        <f>+'vš_věk x dfst'!J126</f>
        <v>1.6762092793681238E-2</v>
      </c>
      <c r="P16" s="337">
        <f>+'vš_věk x dfst'!B144</f>
        <v>1.7836000000000001E-2</v>
      </c>
      <c r="Q16" s="337">
        <f>+'vš_věk x dfst'!J144</f>
        <v>2.0754999999999999E-2</v>
      </c>
      <c r="R16" s="337">
        <f>+'vš_věk x dfst'!B162</f>
        <v>1.9599999999999999E-2</v>
      </c>
      <c r="S16" s="337">
        <f>+'vš_věk x dfst'!J162</f>
        <v>1.9224658404829998E-2</v>
      </c>
      <c r="T16" s="337">
        <f>+'vš_věk x dfst'!B180</f>
        <v>0.02</v>
      </c>
      <c r="U16" s="337">
        <f>+'vš_věk x dfst'!J180</f>
        <v>1.9599999999999999E-2</v>
      </c>
      <c r="V16" s="337">
        <f>+'vš_věk x dfst'!B198</f>
        <v>1.77E-2</v>
      </c>
      <c r="W16" s="129">
        <f>+'vš_věk x dfst'!J198</f>
        <v>1.7100000000000001E-2</v>
      </c>
      <c r="X16" s="129">
        <f>+'vš_věk x dfst'!B216</f>
        <v>1.89E-2</v>
      </c>
      <c r="Y16" s="129">
        <f>+'vš_věk x dfst'!J216</f>
        <v>1.43E-2</v>
      </c>
      <c r="Z16" s="129">
        <f>+'vš_věk x dfst'!B234</f>
        <v>1.41E-2</v>
      </c>
      <c r="AA16" s="129">
        <f>+'vš_věk x dfst'!J234</f>
        <v>1.43E-2</v>
      </c>
      <c r="AB16" s="375">
        <f>+'vš_věk x dfst'!B252</f>
        <v>1.24E-2</v>
      </c>
    </row>
    <row r="17" spans="1:44" ht="13.5" thickBot="1" x14ac:dyDescent="0.25">
      <c r="A17" s="415" t="s">
        <v>34</v>
      </c>
      <c r="B17" s="416">
        <v>19.38</v>
      </c>
      <c r="C17" s="379">
        <f>+'vš_věk x dfst'!J19</f>
        <v>20.47</v>
      </c>
      <c r="D17" s="379">
        <v>20.73</v>
      </c>
      <c r="E17" s="379">
        <v>20.87</v>
      </c>
      <c r="F17" s="417">
        <v>20.420000000000002</v>
      </c>
      <c r="G17" s="417">
        <v>20.69</v>
      </c>
      <c r="H17" s="417">
        <v>20.62</v>
      </c>
      <c r="I17" s="417">
        <v>20.66</v>
      </c>
      <c r="J17" s="417">
        <v>20.69</v>
      </c>
      <c r="K17" s="417">
        <v>20.616211560869345</v>
      </c>
      <c r="L17" s="417">
        <v>20.629026643725943</v>
      </c>
      <c r="M17" s="417">
        <v>20.578407119906881</v>
      </c>
      <c r="N17" s="417">
        <v>20.580464964233528</v>
      </c>
      <c r="O17" s="417">
        <f>+'vš_věk x dfst'!J127</f>
        <v>20.54</v>
      </c>
      <c r="P17" s="417">
        <f>+'vš_věk x dfst'!B145</f>
        <v>20.61</v>
      </c>
      <c r="Q17" s="417">
        <f>+'vš_věk x dfst'!J145</f>
        <v>20.753799999999998</v>
      </c>
      <c r="R17" s="417">
        <f>+'vš_věk x dfst'!B163</f>
        <v>20.732900000000001</v>
      </c>
      <c r="S17" s="417">
        <f>+'vš_věk x dfst'!J163</f>
        <v>20.658899999999999</v>
      </c>
      <c r="T17" s="417">
        <f>+'vš_věk x dfst'!B181</f>
        <v>20.610499999999998</v>
      </c>
      <c r="U17" s="417">
        <f>+'vš_věk x dfst'!J181</f>
        <v>20.550699999999999</v>
      </c>
      <c r="V17" s="417">
        <f>+'vš_věk x dfst'!B199</f>
        <v>20.513500000000001</v>
      </c>
      <c r="W17" s="417">
        <f>+'vš_věk x dfst'!J199</f>
        <v>20.4559</v>
      </c>
      <c r="X17" s="417">
        <f>+'vš_věk x dfst'!B217</f>
        <v>20.4635</v>
      </c>
      <c r="Y17" s="417">
        <f>+'vš_věk x dfst'!J217</f>
        <v>20.404199999999999</v>
      </c>
      <c r="Z17" s="417">
        <f>+'vš_věk x dfst'!B235</f>
        <v>20.392399999999999</v>
      </c>
      <c r="AA17" s="417">
        <f>+'vš_věk x dfst'!J235</f>
        <v>20.368500000000001</v>
      </c>
      <c r="AB17" s="380">
        <f>+'vš_věk x dfst'!B253</f>
        <v>20.309699999999999</v>
      </c>
    </row>
    <row r="18" spans="1:44" ht="13.5" thickTop="1" x14ac:dyDescent="0.2">
      <c r="K18" s="27"/>
      <c r="L18" s="27"/>
      <c r="R18" s="6"/>
      <c r="S18" s="6"/>
      <c r="T18" s="6"/>
      <c r="U18" s="6"/>
      <c r="V18" s="6"/>
      <c r="W18" s="6"/>
      <c r="X18" s="6"/>
    </row>
    <row r="19" spans="1:44" x14ac:dyDescent="0.2">
      <c r="A19" s="5" t="s">
        <v>628</v>
      </c>
      <c r="R19" s="6"/>
      <c r="S19" s="6"/>
      <c r="T19" s="6"/>
      <c r="U19" s="6"/>
      <c r="V19" s="6"/>
      <c r="W19" s="6"/>
      <c r="X19" s="6"/>
    </row>
    <row r="20" spans="1:44" x14ac:dyDescent="0.2">
      <c r="A20" s="9" t="s">
        <v>122</v>
      </c>
      <c r="R20" s="6"/>
      <c r="S20" s="6"/>
      <c r="T20" s="6"/>
      <c r="U20" s="6"/>
      <c r="V20" s="6"/>
      <c r="W20" s="6"/>
      <c r="X20" s="6"/>
    </row>
    <row r="21" spans="1:44" ht="9" customHeight="1" x14ac:dyDescent="0.2">
      <c r="R21" s="6"/>
      <c r="S21" s="6"/>
      <c r="T21" s="6"/>
      <c r="U21" s="6"/>
      <c r="V21" s="6"/>
      <c r="W21" s="6"/>
      <c r="X21" s="6"/>
    </row>
    <row r="22" spans="1:44" x14ac:dyDescent="0.2">
      <c r="R22" s="6"/>
      <c r="S22" s="6"/>
      <c r="T22" s="6"/>
      <c r="U22" s="6"/>
      <c r="V22" s="6"/>
      <c r="W22" s="6"/>
      <c r="X22" s="6"/>
      <c r="Y22" s="388"/>
      <c r="Z22" s="388"/>
      <c r="AA22" s="388"/>
      <c r="AB22" s="388"/>
      <c r="AC22" s="388"/>
      <c r="AD22" s="388"/>
      <c r="AE22" s="388"/>
      <c r="AO22" s="392"/>
      <c r="AP22" s="392"/>
      <c r="AQ22" s="392"/>
      <c r="AR22" s="392"/>
    </row>
    <row r="23" spans="1:44" x14ac:dyDescent="0.2">
      <c r="R23" s="6"/>
      <c r="S23" s="6"/>
      <c r="T23" s="6"/>
      <c r="U23" s="6"/>
      <c r="V23" s="6"/>
      <c r="W23" s="6"/>
      <c r="X23" s="6"/>
      <c r="Y23" s="388"/>
      <c r="Z23" s="388"/>
      <c r="AA23" s="388"/>
      <c r="AB23" s="388"/>
      <c r="AC23" s="388"/>
      <c r="AD23" s="388"/>
      <c r="AE23" s="388"/>
      <c r="AH23" s="6"/>
      <c r="AI23" s="6"/>
      <c r="AJ23" s="6"/>
      <c r="AK23" s="6"/>
      <c r="AL23" s="6"/>
      <c r="AM23" s="6"/>
      <c r="AN23" s="6"/>
      <c r="AO23" s="392"/>
      <c r="AP23" s="392"/>
      <c r="AQ23" s="392"/>
      <c r="AR23" s="392"/>
    </row>
    <row r="24" spans="1:44" x14ac:dyDescent="0.2">
      <c r="O24" s="27"/>
      <c r="R24" s="6"/>
      <c r="S24" s="6"/>
      <c r="T24" s="6"/>
      <c r="U24" s="6"/>
      <c r="V24" s="6"/>
      <c r="W24" s="6"/>
      <c r="X24" s="6"/>
      <c r="Y24" s="388"/>
      <c r="Z24" s="388"/>
      <c r="AA24" s="388"/>
      <c r="AB24" s="388"/>
      <c r="AC24" s="388"/>
      <c r="AD24" s="388"/>
      <c r="AE24" s="388"/>
      <c r="AH24" s="6"/>
      <c r="AI24" s="6"/>
      <c r="AJ24" s="6"/>
      <c r="AK24" s="6"/>
      <c r="AL24" s="6"/>
      <c r="AM24" s="6"/>
      <c r="AN24" s="6"/>
      <c r="AO24" s="392"/>
      <c r="AP24" s="392"/>
      <c r="AQ24" s="392"/>
      <c r="AR24" s="392"/>
    </row>
    <row r="25" spans="1:44" x14ac:dyDescent="0.2">
      <c r="J25" s="6" t="s">
        <v>112</v>
      </c>
      <c r="R25" s="6"/>
      <c r="S25" s="6"/>
      <c r="T25" s="6"/>
      <c r="U25" s="6"/>
      <c r="V25" s="6"/>
      <c r="W25" s="6"/>
      <c r="X25" s="6"/>
      <c r="Y25" s="388"/>
      <c r="Z25" s="388"/>
      <c r="AA25" s="388"/>
      <c r="AB25" s="388"/>
      <c r="AC25" s="388"/>
      <c r="AD25" s="388"/>
      <c r="AE25" s="388"/>
      <c r="AH25" s="6"/>
      <c r="AI25" s="6"/>
      <c r="AJ25" s="6"/>
      <c r="AK25" s="6"/>
      <c r="AL25" s="6"/>
      <c r="AM25" s="6"/>
      <c r="AN25" s="6"/>
      <c r="AO25" s="392"/>
      <c r="AP25" s="392"/>
      <c r="AQ25" s="392"/>
      <c r="AR25" s="392"/>
    </row>
    <row r="26" spans="1:44" x14ac:dyDescent="0.2">
      <c r="R26" s="6"/>
      <c r="S26" s="6"/>
      <c r="T26" s="6"/>
      <c r="U26" s="6"/>
      <c r="V26" s="6"/>
      <c r="W26" s="6"/>
      <c r="X26" s="6"/>
      <c r="Y26" s="388"/>
      <c r="Z26" s="388"/>
      <c r="AA26" s="388"/>
      <c r="AB26" s="388"/>
      <c r="AC26" s="388"/>
      <c r="AD26" s="388"/>
      <c r="AE26" s="388"/>
      <c r="AH26" s="6"/>
      <c r="AI26" s="6"/>
      <c r="AJ26" s="6"/>
      <c r="AK26" s="6"/>
      <c r="AL26" s="6"/>
      <c r="AM26" s="6"/>
      <c r="AN26" s="6"/>
    </row>
    <row r="27" spans="1:44" x14ac:dyDescent="0.2">
      <c r="J27" s="6" t="s">
        <v>62</v>
      </c>
      <c r="AH27" s="6"/>
      <c r="AI27" s="6"/>
      <c r="AJ27" s="6"/>
      <c r="AK27" s="6"/>
      <c r="AL27" s="6"/>
      <c r="AM27" s="6"/>
      <c r="AN27" s="6"/>
    </row>
    <row r="28" spans="1:44" x14ac:dyDescent="0.2">
      <c r="AO28" s="392"/>
      <c r="AP28" s="392"/>
      <c r="AQ28" s="392"/>
      <c r="AR28" s="392"/>
    </row>
    <row r="29" spans="1:44" x14ac:dyDescent="0.2">
      <c r="AO29" s="392"/>
      <c r="AP29" s="392"/>
      <c r="AQ29" s="392"/>
      <c r="AR29" s="392"/>
    </row>
    <row r="30" spans="1:44" x14ac:dyDescent="0.2">
      <c r="V30" s="397" t="s">
        <v>25</v>
      </c>
      <c r="W30" s="397"/>
      <c r="X30" s="409" t="s">
        <v>5</v>
      </c>
      <c r="Y30" s="409" t="s">
        <v>6</v>
      </c>
      <c r="Z30" s="409" t="s">
        <v>7</v>
      </c>
      <c r="AA30" s="598" t="s">
        <v>8</v>
      </c>
      <c r="AB30" s="598" t="s">
        <v>9</v>
      </c>
      <c r="AC30" s="598" t="s">
        <v>10</v>
      </c>
      <c r="AD30" s="598" t="s">
        <v>11</v>
      </c>
      <c r="AE30" s="409" t="s">
        <v>12</v>
      </c>
      <c r="AF30" s="409" t="s">
        <v>13</v>
      </c>
      <c r="AG30" s="410" t="s">
        <v>14</v>
      </c>
      <c r="AH30" s="410" t="s">
        <v>15</v>
      </c>
      <c r="AI30" s="392" t="s">
        <v>16</v>
      </c>
      <c r="AJ30" s="392" t="s">
        <v>17</v>
      </c>
      <c r="AK30" s="392" t="s">
        <v>35</v>
      </c>
      <c r="AL30" s="392" t="s">
        <v>542</v>
      </c>
      <c r="AM30" s="392" t="s">
        <v>544</v>
      </c>
      <c r="AN30" s="392" t="s">
        <v>551</v>
      </c>
      <c r="AO30" s="392" t="s">
        <v>561</v>
      </c>
      <c r="AP30" s="392" t="s">
        <v>586</v>
      </c>
      <c r="AQ30" s="392" t="s">
        <v>590</v>
      </c>
      <c r="AR30" s="392" t="s">
        <v>593</v>
      </c>
    </row>
    <row r="31" spans="1:44" x14ac:dyDescent="0.2">
      <c r="V31" s="403">
        <f t="shared" ref="V31:V34" si="0">+B4</f>
        <v>0.43103322113273818</v>
      </c>
      <c r="W31" s="403"/>
      <c r="X31" s="403">
        <f t="shared" ref="X31:Y34" si="1">+C4</f>
        <v>0.21968901298767834</v>
      </c>
      <c r="Y31" s="403">
        <f t="shared" si="1"/>
        <v>9.2700000000000005E-2</v>
      </c>
      <c r="Z31" s="403">
        <v>1.8518518518518519E-3</v>
      </c>
      <c r="AA31" s="599">
        <f>33.5651449005112%/100</f>
        <v>3.35651449005112E-3</v>
      </c>
      <c r="AB31" s="599">
        <v>3.8465602874352745E-3</v>
      </c>
      <c r="AC31" s="599">
        <v>3.3312468835867133E-3</v>
      </c>
      <c r="AD31" s="599">
        <v>5.0254893647822809E-3</v>
      </c>
      <c r="AE31" s="599">
        <v>5.5919861608400047E-3</v>
      </c>
      <c r="AF31" s="599">
        <v>5.4916662444906023E-3</v>
      </c>
      <c r="AG31" s="403">
        <v>5.6390416612795754E-3</v>
      </c>
      <c r="AH31" s="600">
        <v>5.137099908062972E-3</v>
      </c>
      <c r="AI31" s="403">
        <f t="shared" ref="AI31:AQ37" si="2">+N4</f>
        <v>4.509268517806325E-3</v>
      </c>
      <c r="AJ31" s="403">
        <f t="shared" si="2"/>
        <v>4.7778874629812486E-3</v>
      </c>
      <c r="AK31" s="403">
        <f t="shared" si="2"/>
        <v>3.4830000000000139E-3</v>
      </c>
      <c r="AL31" s="403">
        <f t="shared" si="2"/>
        <v>4.6310000000000517E-3</v>
      </c>
      <c r="AM31" s="403">
        <f t="shared" si="2"/>
        <v>5.0000000000000001E-3</v>
      </c>
      <c r="AN31" s="403">
        <f t="shared" si="2"/>
        <v>5.5343713589662115E-3</v>
      </c>
      <c r="AO31" s="403">
        <f t="shared" si="2"/>
        <v>6.4000000000000003E-3</v>
      </c>
      <c r="AP31" s="403">
        <f t="shared" si="2"/>
        <v>6.1000000000000004E-3</v>
      </c>
      <c r="AQ31" s="403">
        <f t="shared" si="2"/>
        <v>6.6E-3</v>
      </c>
      <c r="AR31" s="403">
        <f t="shared" ref="AR31" si="3">+X4</f>
        <v>8.0000000000000002E-3</v>
      </c>
    </row>
    <row r="32" spans="1:44" x14ac:dyDescent="0.2">
      <c r="Q32" s="403"/>
      <c r="R32" s="403"/>
      <c r="S32" s="403"/>
      <c r="V32" s="403">
        <f t="shared" si="0"/>
        <v>0.27694643641153227</v>
      </c>
      <c r="W32" s="403"/>
      <c r="X32" s="403">
        <f t="shared" si="1"/>
        <v>0.26075261930988547</v>
      </c>
      <c r="Y32" s="403">
        <f t="shared" si="1"/>
        <v>0.4536</v>
      </c>
      <c r="Z32" s="403">
        <v>0.44995863344364417</v>
      </c>
      <c r="AA32" s="599">
        <f>4565.07908650155%/100</f>
        <v>0.45650790865015495</v>
      </c>
      <c r="AB32" s="599">
        <v>0.46011835570115189</v>
      </c>
      <c r="AC32" s="599">
        <v>0.47</v>
      </c>
      <c r="AD32" s="599">
        <v>0.47274757773480724</v>
      </c>
      <c r="AE32" s="599">
        <v>0.47214064448646254</v>
      </c>
      <c r="AF32" s="599">
        <v>0.47289123055879223</v>
      </c>
      <c r="AG32" s="403">
        <v>0.46197376403544538</v>
      </c>
      <c r="AH32" s="600">
        <v>0.46549518041456966</v>
      </c>
      <c r="AI32" s="403">
        <f t="shared" si="2"/>
        <v>0.43532228290131547</v>
      </c>
      <c r="AJ32" s="403">
        <f t="shared" si="2"/>
        <v>0.43363277393879607</v>
      </c>
      <c r="AK32" s="403">
        <f t="shared" si="2"/>
        <v>0.41340900000000003</v>
      </c>
      <c r="AL32" s="403">
        <f t="shared" si="2"/>
        <v>0.39259300000000003</v>
      </c>
      <c r="AM32" s="403">
        <f t="shared" si="2"/>
        <v>0.40089999999999998</v>
      </c>
      <c r="AN32" s="403">
        <f t="shared" si="2"/>
        <v>0.42549782861984958</v>
      </c>
      <c r="AO32" s="403">
        <f t="shared" si="2"/>
        <v>0.44040000000000001</v>
      </c>
      <c r="AP32" s="403">
        <f t="shared" si="2"/>
        <v>0.45200000000000001</v>
      </c>
      <c r="AQ32" s="403">
        <f t="shared" si="2"/>
        <v>0.45810000000000001</v>
      </c>
      <c r="AR32" s="403">
        <f t="shared" ref="AR32" si="4">+X5</f>
        <v>0.47489999999999999</v>
      </c>
    </row>
    <row r="33" spans="22:44" x14ac:dyDescent="0.2">
      <c r="V33" s="403">
        <f t="shared" si="0"/>
        <v>0.12026196399824382</v>
      </c>
      <c r="W33" s="403"/>
      <c r="X33" s="403">
        <f t="shared" si="1"/>
        <v>0.17201629223557138</v>
      </c>
      <c r="Y33" s="403">
        <f t="shared" si="1"/>
        <v>0.15870000000000001</v>
      </c>
      <c r="Z33" s="403">
        <v>0.23582587113101031</v>
      </c>
      <c r="AA33" s="599">
        <f>2131.49639119847%/100</f>
        <v>0.21314963911984702</v>
      </c>
      <c r="AB33" s="599">
        <v>0.22379794991017646</v>
      </c>
      <c r="AC33" s="599">
        <v>0.22869964671808529</v>
      </c>
      <c r="AD33" s="599">
        <v>0.22362393621971521</v>
      </c>
      <c r="AE33" s="599">
        <v>0.22283461399203441</v>
      </c>
      <c r="AF33" s="599">
        <v>0.22361821774152693</v>
      </c>
      <c r="AG33" s="403">
        <v>0.23297098926891366</v>
      </c>
      <c r="AH33" s="600">
        <v>0.22762470736538809</v>
      </c>
      <c r="AI33" s="403">
        <f t="shared" si="2"/>
        <v>0.25153834320436902</v>
      </c>
      <c r="AJ33" s="403">
        <f t="shared" si="2"/>
        <v>0.24906219151036549</v>
      </c>
      <c r="AK33" s="403">
        <f t="shared" si="2"/>
        <v>0.258913</v>
      </c>
      <c r="AL33" s="403">
        <f t="shared" si="2"/>
        <v>0.25536599999999998</v>
      </c>
      <c r="AM33" s="403">
        <f t="shared" si="2"/>
        <v>0.2422</v>
      </c>
      <c r="AN33" s="403">
        <f t="shared" si="2"/>
        <v>0.24173816333015571</v>
      </c>
      <c r="AO33" s="403">
        <f t="shared" si="2"/>
        <v>0.2495</v>
      </c>
      <c r="AP33" s="403">
        <f t="shared" si="2"/>
        <v>0.251</v>
      </c>
      <c r="AQ33" s="403">
        <f t="shared" si="2"/>
        <v>0.24349999999999999</v>
      </c>
      <c r="AR33" s="403">
        <f t="shared" ref="AR33" si="5">+X6</f>
        <v>0.24679999999999999</v>
      </c>
    </row>
    <row r="34" spans="22:44" x14ac:dyDescent="0.2">
      <c r="V34" s="403">
        <f t="shared" si="0"/>
        <v>6.192375237816479E-2</v>
      </c>
      <c r="W34" s="403"/>
      <c r="X34" s="403">
        <f t="shared" si="1"/>
        <v>0.1189896764607936</v>
      </c>
      <c r="Y34" s="403">
        <f t="shared" si="1"/>
        <v>9.1200000000000003E-2</v>
      </c>
      <c r="Z34" s="403">
        <v>9.8853903056258519E-2</v>
      </c>
      <c r="AA34" s="599">
        <f>1039.53228177171%/100</f>
        <v>0.10395322817717099</v>
      </c>
      <c r="AB34" s="599">
        <v>0.10075029060551621</v>
      </c>
      <c r="AC34" s="599">
        <v>9.8473355329464565E-2</v>
      </c>
      <c r="AD34" s="599">
        <v>9.623915538689029E-2</v>
      </c>
      <c r="AE34" s="599">
        <v>9.7024982902200574E-2</v>
      </c>
      <c r="AF34" s="599">
        <v>9.7613860884543296E-2</v>
      </c>
      <c r="AG34" s="403">
        <v>9.7226228008234786E-2</v>
      </c>
      <c r="AH34" s="600">
        <v>0.10252400314671065</v>
      </c>
      <c r="AI34" s="403">
        <f t="shared" si="2"/>
        <v>0.10566494885008851</v>
      </c>
      <c r="AJ34" s="403">
        <f t="shared" si="2"/>
        <v>0.11353405725567633</v>
      </c>
      <c r="AK34" s="403">
        <f t="shared" si="2"/>
        <v>0.11442099999999999</v>
      </c>
      <c r="AL34" s="403">
        <f t="shared" si="2"/>
        <v>0.121367</v>
      </c>
      <c r="AM34" s="403">
        <f t="shared" si="2"/>
        <v>0.1197</v>
      </c>
      <c r="AN34" s="403">
        <f t="shared" si="2"/>
        <v>0.11107139074250609</v>
      </c>
      <c r="AO34" s="403">
        <f t="shared" si="2"/>
        <v>0.10299999999999999</v>
      </c>
      <c r="AP34" s="403">
        <f t="shared" si="2"/>
        <v>0.104</v>
      </c>
      <c r="AQ34" s="403">
        <f t="shared" si="2"/>
        <v>0.10580000000000001</v>
      </c>
      <c r="AR34" s="403">
        <f t="shared" ref="AR34" si="6">+X7</f>
        <v>9.9599999999999994E-2</v>
      </c>
    </row>
    <row r="35" spans="22:44" x14ac:dyDescent="0.2">
      <c r="V35" s="403">
        <v>3.7684765110493193E-2</v>
      </c>
      <c r="W35" s="403"/>
      <c r="X35" s="403">
        <v>7.4275687168583654E-2</v>
      </c>
      <c r="Y35" s="403">
        <v>6.54E-2</v>
      </c>
      <c r="Z35" s="599">
        <v>6.481166050223866E-2</v>
      </c>
      <c r="AA35" s="599">
        <v>6.0757299870565801E-2</v>
      </c>
      <c r="AB35" s="599">
        <v>6.8931628447638171E-2</v>
      </c>
      <c r="AC35" s="599">
        <v>6.5829257683616416E-2</v>
      </c>
      <c r="AD35" s="599">
        <v>6.7358102309036577E-2</v>
      </c>
      <c r="AE35" s="599">
        <v>6.7224524278875167E-2</v>
      </c>
      <c r="AF35" s="599">
        <v>6.9294290490906324E-2</v>
      </c>
      <c r="AG35" s="403">
        <v>6.9548180489114764E-2</v>
      </c>
      <c r="AH35" s="600">
        <v>7.1246457581013584E-2</v>
      </c>
      <c r="AI35" s="403">
        <f t="shared" si="2"/>
        <v>7.6792169833089799E-2</v>
      </c>
      <c r="AJ35" s="403">
        <f t="shared" si="2"/>
        <v>7.5320829220138275E-2</v>
      </c>
      <c r="AK35" s="403">
        <f t="shared" si="2"/>
        <v>8.0181000000000002E-2</v>
      </c>
      <c r="AL35" s="403">
        <f t="shared" si="2"/>
        <v>8.1558000000000005E-2</v>
      </c>
      <c r="AM35" s="403">
        <f t="shared" si="2"/>
        <v>8.5099999999999995E-2</v>
      </c>
      <c r="AN35" s="403">
        <f t="shared" si="2"/>
        <v>7.745471877979028E-2</v>
      </c>
      <c r="AO35" s="403">
        <f t="shared" si="2"/>
        <v>6.7500000000000004E-2</v>
      </c>
      <c r="AP35" s="403">
        <f t="shared" si="2"/>
        <v>6.2100000000000002E-2</v>
      </c>
      <c r="AQ35" s="403">
        <f t="shared" si="2"/>
        <v>6.5600000000000006E-2</v>
      </c>
      <c r="AR35" s="403">
        <f t="shared" ref="AR35" si="7">+X8</f>
        <v>5.8500000000000003E-2</v>
      </c>
    </row>
    <row r="36" spans="22:44" x14ac:dyDescent="0.2">
      <c r="V36" s="403">
        <v>2.5025611005414897E-2</v>
      </c>
      <c r="W36" s="403"/>
      <c r="X36" s="403">
        <v>4.8838281630248226E-2</v>
      </c>
      <c r="Y36" s="403">
        <v>4.41E-2</v>
      </c>
      <c r="Z36" s="599">
        <v>4.8800369865680357E-2</v>
      </c>
      <c r="AA36" s="599">
        <v>4.7715156966412903E-2</v>
      </c>
      <c r="AB36" s="599">
        <v>4.1530170136320405E-2</v>
      </c>
      <c r="AC36" s="599">
        <v>4.3391082018693169E-2</v>
      </c>
      <c r="AD36" s="599">
        <v>4.2571892417301749E-2</v>
      </c>
      <c r="AE36" s="599">
        <v>4.2563463008408096E-2</v>
      </c>
      <c r="AF36" s="599">
        <v>4.2879578499417398E-2</v>
      </c>
      <c r="AG36" s="403">
        <v>4.4764244298799591E-2</v>
      </c>
      <c r="AH36" s="600">
        <v>4.4916451041163145E-2</v>
      </c>
      <c r="AI36" s="403">
        <f t="shared" si="2"/>
        <v>4.5631105299592356E-2</v>
      </c>
      <c r="AJ36" s="403">
        <f t="shared" si="2"/>
        <v>4.6495557749259675E-2</v>
      </c>
      <c r="AK36" s="403">
        <f t="shared" si="2"/>
        <v>4.7744000000000002E-2</v>
      </c>
      <c r="AL36" s="403">
        <f t="shared" si="2"/>
        <v>5.5384000000000003E-2</v>
      </c>
      <c r="AM36" s="403">
        <f t="shared" si="2"/>
        <v>5.2999999999999999E-2</v>
      </c>
      <c r="AN36" s="403">
        <f t="shared" si="2"/>
        <v>5.0325707022561172E-2</v>
      </c>
      <c r="AO36" s="403">
        <f t="shared" si="2"/>
        <v>4.48E-2</v>
      </c>
      <c r="AP36" s="403">
        <f t="shared" si="2"/>
        <v>3.9800000000000002E-2</v>
      </c>
      <c r="AQ36" s="403">
        <f t="shared" si="2"/>
        <v>3.7900000000000003E-2</v>
      </c>
      <c r="AR36" s="403">
        <f t="shared" ref="AR36" si="8">+X9</f>
        <v>3.6299999999999999E-2</v>
      </c>
    </row>
    <row r="37" spans="22:44" x14ac:dyDescent="0.2">
      <c r="V37" s="403">
        <v>1.4945851017122787E-2</v>
      </c>
      <c r="W37" s="403"/>
      <c r="X37" s="403">
        <v>3.1764736019673646E-2</v>
      </c>
      <c r="Y37" s="403">
        <v>2.8899999999999999E-2</v>
      </c>
      <c r="Z37" s="599">
        <v>3.2241580689118164E-2</v>
      </c>
      <c r="AA37" s="599">
        <v>3.7470109470635997E-2</v>
      </c>
      <c r="AB37" s="599">
        <v>2.8976011835570116E-2</v>
      </c>
      <c r="AC37" s="599">
        <v>2.406136284068365E-2</v>
      </c>
      <c r="AD37" s="599">
        <v>2.7567807914628727E-2</v>
      </c>
      <c r="AE37" s="599">
        <v>2.5536066299231604E-2</v>
      </c>
      <c r="AF37" s="599">
        <v>2.7397537869192967E-2</v>
      </c>
      <c r="AG37" s="403">
        <v>2.8036081910312385E-2</v>
      </c>
      <c r="AH37" s="600">
        <v>2.8055010568019182E-2</v>
      </c>
      <c r="AI37" s="403">
        <f t="shared" si="2"/>
        <v>2.850742250596109E-2</v>
      </c>
      <c r="AJ37" s="403">
        <f t="shared" si="2"/>
        <v>2.8983218163869725E-2</v>
      </c>
      <c r="AK37" s="403">
        <f t="shared" si="2"/>
        <v>3.0522000000000001E-2</v>
      </c>
      <c r="AL37" s="403">
        <f t="shared" si="2"/>
        <v>3.2780999999999998E-2</v>
      </c>
      <c r="AM37" s="403">
        <f t="shared" si="2"/>
        <v>3.5499999999999997E-2</v>
      </c>
      <c r="AN37" s="403">
        <f t="shared" si="2"/>
        <v>3.2451541150301876E-2</v>
      </c>
      <c r="AO37" s="403">
        <f t="shared" si="2"/>
        <v>3.2800000000000003E-2</v>
      </c>
      <c r="AP37" s="403">
        <f t="shared" si="2"/>
        <v>3.1099999999999999E-2</v>
      </c>
      <c r="AQ37" s="403">
        <f t="shared" si="2"/>
        <v>3.0700000000000002E-2</v>
      </c>
      <c r="AR37" s="403">
        <f t="shared" ref="AR37" si="9">+X10</f>
        <v>2.8400000000000002E-2</v>
      </c>
    </row>
    <row r="38" spans="22:44" x14ac:dyDescent="0.2">
      <c r="V38" s="403">
        <v>3.2178398946290064E-2</v>
      </c>
      <c r="W38" s="403"/>
      <c r="X38" s="408">
        <v>7.3199784819530184E-2</v>
      </c>
      <c r="Y38" s="403">
        <v>6.4659999999999995E-2</v>
      </c>
      <c r="Z38" s="599">
        <v>6.4659999999999995E-2</v>
      </c>
      <c r="AA38" s="599">
        <v>7.3999999999999996E-2</v>
      </c>
      <c r="AB38" s="599">
        <v>7.0999999999999994E-2</v>
      </c>
      <c r="AC38" s="599">
        <v>6.6000000000000003E-2</v>
      </c>
      <c r="AD38" s="599">
        <v>6.5000000000000002E-2</v>
      </c>
      <c r="AE38" s="599">
        <v>6.7000000000000004E-2</v>
      </c>
      <c r="AF38" s="599">
        <v>6.0712295455696841E-2</v>
      </c>
      <c r="AG38" s="403">
        <v>5.9841470327899826E-2</v>
      </c>
      <c r="AH38" s="403">
        <v>5.4953699754518644E-2</v>
      </c>
      <c r="AI38" s="403">
        <f t="shared" ref="AI38:AQ38" si="10">SUM(N11:N16)</f>
        <v>5.2034458887777857E-2</v>
      </c>
      <c r="AJ38" s="403">
        <f t="shared" si="10"/>
        <v>4.8193484698913255E-2</v>
      </c>
      <c r="AK38" s="403">
        <f t="shared" si="10"/>
        <v>5.1326999999999998E-2</v>
      </c>
      <c r="AL38" s="403">
        <f t="shared" si="10"/>
        <v>5.6319999999999995E-2</v>
      </c>
      <c r="AM38" s="403">
        <f t="shared" si="10"/>
        <v>5.6499999999999995E-2</v>
      </c>
      <c r="AN38" s="403">
        <f t="shared" si="10"/>
        <v>5.5926278995869078E-2</v>
      </c>
      <c r="AO38" s="403">
        <f t="shared" si="10"/>
        <v>5.5599999999999997E-2</v>
      </c>
      <c r="AP38" s="403">
        <f t="shared" si="10"/>
        <v>5.3799999999999994E-2</v>
      </c>
      <c r="AQ38" s="403">
        <f t="shared" si="10"/>
        <v>5.1799999999999999E-2</v>
      </c>
      <c r="AR38" s="403">
        <f t="shared" ref="AR38" si="11">SUM(X11:X16)</f>
        <v>4.7500000000000001E-2</v>
      </c>
    </row>
  </sheetData>
  <pageMargins left="0.7" right="0.7" top="0.78740157499999996" bottom="0.78740157499999996" header="0.3" footer="0.3"/>
  <pageSetup paperSize="9" orientation="portrait" r:id="rId1"/>
  <ignoredErrors>
    <ignoredError sqref="AI38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97"/>
  <sheetViews>
    <sheetView workbookViewId="0">
      <pane ySplit="3" topLeftCell="A32" activePane="bottomLeft" state="frozen"/>
      <selection pane="bottomLeft" activeCell="N89" sqref="N88:N89"/>
    </sheetView>
  </sheetViews>
  <sheetFormatPr defaultRowHeight="12.75" x14ac:dyDescent="0.2"/>
  <cols>
    <col min="1" max="1" width="9.140625" style="6"/>
    <col min="2" max="2" width="8.7109375" style="6" customWidth="1"/>
    <col min="3" max="3" width="10.5703125" style="6" customWidth="1"/>
    <col min="4" max="4" width="20.7109375" style="6" customWidth="1"/>
    <col min="5" max="5" width="8.28515625" style="6" customWidth="1"/>
    <col min="6" max="7" width="20.7109375" style="6" customWidth="1"/>
    <col min="8" max="11" width="7.7109375" style="6" customWidth="1"/>
    <col min="12" max="12" width="8.7109375" style="6" customWidth="1"/>
    <col min="13" max="13" width="7.7109375" style="6" customWidth="1"/>
    <col min="14" max="14" width="12.85546875" style="6" customWidth="1"/>
    <col min="15" max="15" width="9.28515625" style="26" customWidth="1"/>
    <col min="16" max="16" width="11" style="6" customWidth="1"/>
    <col min="17" max="17" width="8.42578125" style="392" bestFit="1" customWidth="1"/>
    <col min="18" max="18" width="12.7109375" style="392" customWidth="1"/>
    <col min="19" max="27" width="9.140625" style="392"/>
    <col min="28" max="28" width="8.140625" style="392" customWidth="1"/>
    <col min="29" max="36" width="9.140625" style="392"/>
    <col min="37" max="256" width="9.140625" style="6"/>
    <col min="257" max="257" width="8.7109375" style="6" customWidth="1"/>
    <col min="258" max="258" width="10.5703125" style="6" customWidth="1"/>
    <col min="259" max="259" width="20.7109375" style="6" customWidth="1"/>
    <col min="260" max="260" width="8.28515625" style="6" customWidth="1"/>
    <col min="261" max="262" width="20.7109375" style="6" customWidth="1"/>
    <col min="263" max="266" width="7.7109375" style="6" customWidth="1"/>
    <col min="267" max="267" width="8.7109375" style="6" customWidth="1"/>
    <col min="268" max="268" width="7.7109375" style="6" customWidth="1"/>
    <col min="269" max="269" width="12.85546875" style="6" customWidth="1"/>
    <col min="270" max="270" width="9.28515625" style="6" customWidth="1"/>
    <col min="271" max="271" width="5.85546875" style="6" customWidth="1"/>
    <col min="272" max="272" width="4.28515625" style="6" bestFit="1" customWidth="1"/>
    <col min="273" max="273" width="8.42578125" style="6" bestFit="1" customWidth="1"/>
    <col min="274" max="274" width="12.7109375" style="6" customWidth="1"/>
    <col min="275" max="283" width="9.140625" style="6"/>
    <col min="284" max="284" width="8.140625" style="6" customWidth="1"/>
    <col min="285" max="512" width="9.140625" style="6"/>
    <col min="513" max="513" width="8.7109375" style="6" customWidth="1"/>
    <col min="514" max="514" width="10.5703125" style="6" customWidth="1"/>
    <col min="515" max="515" width="20.7109375" style="6" customWidth="1"/>
    <col min="516" max="516" width="8.28515625" style="6" customWidth="1"/>
    <col min="517" max="518" width="20.7109375" style="6" customWidth="1"/>
    <col min="519" max="522" width="7.7109375" style="6" customWidth="1"/>
    <col min="523" max="523" width="8.7109375" style="6" customWidth="1"/>
    <col min="524" max="524" width="7.7109375" style="6" customWidth="1"/>
    <col min="525" max="525" width="12.85546875" style="6" customWidth="1"/>
    <col min="526" max="526" width="9.28515625" style="6" customWidth="1"/>
    <col min="527" max="527" width="5.85546875" style="6" customWidth="1"/>
    <col min="528" max="528" width="4.28515625" style="6" bestFit="1" customWidth="1"/>
    <col min="529" max="529" width="8.42578125" style="6" bestFit="1" customWidth="1"/>
    <col min="530" max="530" width="12.7109375" style="6" customWidth="1"/>
    <col min="531" max="539" width="9.140625" style="6"/>
    <col min="540" max="540" width="8.140625" style="6" customWidth="1"/>
    <col min="541" max="768" width="9.140625" style="6"/>
    <col min="769" max="769" width="8.7109375" style="6" customWidth="1"/>
    <col min="770" max="770" width="10.5703125" style="6" customWidth="1"/>
    <col min="771" max="771" width="20.7109375" style="6" customWidth="1"/>
    <col min="772" max="772" width="8.28515625" style="6" customWidth="1"/>
    <col min="773" max="774" width="20.7109375" style="6" customWidth="1"/>
    <col min="775" max="778" width="7.7109375" style="6" customWidth="1"/>
    <col min="779" max="779" width="8.7109375" style="6" customWidth="1"/>
    <col min="780" max="780" width="7.7109375" style="6" customWidth="1"/>
    <col min="781" max="781" width="12.85546875" style="6" customWidth="1"/>
    <col min="782" max="782" width="9.28515625" style="6" customWidth="1"/>
    <col min="783" max="783" width="5.85546875" style="6" customWidth="1"/>
    <col min="784" max="784" width="4.28515625" style="6" bestFit="1" customWidth="1"/>
    <col min="785" max="785" width="8.42578125" style="6" bestFit="1" customWidth="1"/>
    <col min="786" max="786" width="12.7109375" style="6" customWidth="1"/>
    <col min="787" max="795" width="9.140625" style="6"/>
    <col min="796" max="796" width="8.140625" style="6" customWidth="1"/>
    <col min="797" max="1024" width="9.140625" style="6"/>
    <col min="1025" max="1025" width="8.7109375" style="6" customWidth="1"/>
    <col min="1026" max="1026" width="10.5703125" style="6" customWidth="1"/>
    <col min="1027" max="1027" width="20.7109375" style="6" customWidth="1"/>
    <col min="1028" max="1028" width="8.28515625" style="6" customWidth="1"/>
    <col min="1029" max="1030" width="20.7109375" style="6" customWidth="1"/>
    <col min="1031" max="1034" width="7.7109375" style="6" customWidth="1"/>
    <col min="1035" max="1035" width="8.7109375" style="6" customWidth="1"/>
    <col min="1036" max="1036" width="7.7109375" style="6" customWidth="1"/>
    <col min="1037" max="1037" width="12.85546875" style="6" customWidth="1"/>
    <col min="1038" max="1038" width="9.28515625" style="6" customWidth="1"/>
    <col min="1039" max="1039" width="5.85546875" style="6" customWidth="1"/>
    <col min="1040" max="1040" width="4.28515625" style="6" bestFit="1" customWidth="1"/>
    <col min="1041" max="1041" width="8.42578125" style="6" bestFit="1" customWidth="1"/>
    <col min="1042" max="1042" width="12.7109375" style="6" customWidth="1"/>
    <col min="1043" max="1051" width="9.140625" style="6"/>
    <col min="1052" max="1052" width="8.140625" style="6" customWidth="1"/>
    <col min="1053" max="1280" width="9.140625" style="6"/>
    <col min="1281" max="1281" width="8.7109375" style="6" customWidth="1"/>
    <col min="1282" max="1282" width="10.5703125" style="6" customWidth="1"/>
    <col min="1283" max="1283" width="20.7109375" style="6" customWidth="1"/>
    <col min="1284" max="1284" width="8.28515625" style="6" customWidth="1"/>
    <col min="1285" max="1286" width="20.7109375" style="6" customWidth="1"/>
    <col min="1287" max="1290" width="7.7109375" style="6" customWidth="1"/>
    <col min="1291" max="1291" width="8.7109375" style="6" customWidth="1"/>
    <col min="1292" max="1292" width="7.7109375" style="6" customWidth="1"/>
    <col min="1293" max="1293" width="12.85546875" style="6" customWidth="1"/>
    <col min="1294" max="1294" width="9.28515625" style="6" customWidth="1"/>
    <col min="1295" max="1295" width="5.85546875" style="6" customWidth="1"/>
    <col min="1296" max="1296" width="4.28515625" style="6" bestFit="1" customWidth="1"/>
    <col min="1297" max="1297" width="8.42578125" style="6" bestFit="1" customWidth="1"/>
    <col min="1298" max="1298" width="12.7109375" style="6" customWidth="1"/>
    <col min="1299" max="1307" width="9.140625" style="6"/>
    <col min="1308" max="1308" width="8.140625" style="6" customWidth="1"/>
    <col min="1309" max="1536" width="9.140625" style="6"/>
    <col min="1537" max="1537" width="8.7109375" style="6" customWidth="1"/>
    <col min="1538" max="1538" width="10.5703125" style="6" customWidth="1"/>
    <col min="1539" max="1539" width="20.7109375" style="6" customWidth="1"/>
    <col min="1540" max="1540" width="8.28515625" style="6" customWidth="1"/>
    <col min="1541" max="1542" width="20.7109375" style="6" customWidth="1"/>
    <col min="1543" max="1546" width="7.7109375" style="6" customWidth="1"/>
    <col min="1547" max="1547" width="8.7109375" style="6" customWidth="1"/>
    <col min="1548" max="1548" width="7.7109375" style="6" customWidth="1"/>
    <col min="1549" max="1549" width="12.85546875" style="6" customWidth="1"/>
    <col min="1550" max="1550" width="9.28515625" style="6" customWidth="1"/>
    <col min="1551" max="1551" width="5.85546875" style="6" customWidth="1"/>
    <col min="1552" max="1552" width="4.28515625" style="6" bestFit="1" customWidth="1"/>
    <col min="1553" max="1553" width="8.42578125" style="6" bestFit="1" customWidth="1"/>
    <col min="1554" max="1554" width="12.7109375" style="6" customWidth="1"/>
    <col min="1555" max="1563" width="9.140625" style="6"/>
    <col min="1564" max="1564" width="8.140625" style="6" customWidth="1"/>
    <col min="1565" max="1792" width="9.140625" style="6"/>
    <col min="1793" max="1793" width="8.7109375" style="6" customWidth="1"/>
    <col min="1794" max="1794" width="10.5703125" style="6" customWidth="1"/>
    <col min="1795" max="1795" width="20.7109375" style="6" customWidth="1"/>
    <col min="1796" max="1796" width="8.28515625" style="6" customWidth="1"/>
    <col min="1797" max="1798" width="20.7109375" style="6" customWidth="1"/>
    <col min="1799" max="1802" width="7.7109375" style="6" customWidth="1"/>
    <col min="1803" max="1803" width="8.7109375" style="6" customWidth="1"/>
    <col min="1804" max="1804" width="7.7109375" style="6" customWidth="1"/>
    <col min="1805" max="1805" width="12.85546875" style="6" customWidth="1"/>
    <col min="1806" max="1806" width="9.28515625" style="6" customWidth="1"/>
    <col min="1807" max="1807" width="5.85546875" style="6" customWidth="1"/>
    <col min="1808" max="1808" width="4.28515625" style="6" bestFit="1" customWidth="1"/>
    <col min="1809" max="1809" width="8.42578125" style="6" bestFit="1" customWidth="1"/>
    <col min="1810" max="1810" width="12.7109375" style="6" customWidth="1"/>
    <col min="1811" max="1819" width="9.140625" style="6"/>
    <col min="1820" max="1820" width="8.140625" style="6" customWidth="1"/>
    <col min="1821" max="2048" width="9.140625" style="6"/>
    <col min="2049" max="2049" width="8.7109375" style="6" customWidth="1"/>
    <col min="2050" max="2050" width="10.5703125" style="6" customWidth="1"/>
    <col min="2051" max="2051" width="20.7109375" style="6" customWidth="1"/>
    <col min="2052" max="2052" width="8.28515625" style="6" customWidth="1"/>
    <col min="2053" max="2054" width="20.7109375" style="6" customWidth="1"/>
    <col min="2055" max="2058" width="7.7109375" style="6" customWidth="1"/>
    <col min="2059" max="2059" width="8.7109375" style="6" customWidth="1"/>
    <col min="2060" max="2060" width="7.7109375" style="6" customWidth="1"/>
    <col min="2061" max="2061" width="12.85546875" style="6" customWidth="1"/>
    <col min="2062" max="2062" width="9.28515625" style="6" customWidth="1"/>
    <col min="2063" max="2063" width="5.85546875" style="6" customWidth="1"/>
    <col min="2064" max="2064" width="4.28515625" style="6" bestFit="1" customWidth="1"/>
    <col min="2065" max="2065" width="8.42578125" style="6" bestFit="1" customWidth="1"/>
    <col min="2066" max="2066" width="12.7109375" style="6" customWidth="1"/>
    <col min="2067" max="2075" width="9.140625" style="6"/>
    <col min="2076" max="2076" width="8.140625" style="6" customWidth="1"/>
    <col min="2077" max="2304" width="9.140625" style="6"/>
    <col min="2305" max="2305" width="8.7109375" style="6" customWidth="1"/>
    <col min="2306" max="2306" width="10.5703125" style="6" customWidth="1"/>
    <col min="2307" max="2307" width="20.7109375" style="6" customWidth="1"/>
    <col min="2308" max="2308" width="8.28515625" style="6" customWidth="1"/>
    <col min="2309" max="2310" width="20.7109375" style="6" customWidth="1"/>
    <col min="2311" max="2314" width="7.7109375" style="6" customWidth="1"/>
    <col min="2315" max="2315" width="8.7109375" style="6" customWidth="1"/>
    <col min="2316" max="2316" width="7.7109375" style="6" customWidth="1"/>
    <col min="2317" max="2317" width="12.85546875" style="6" customWidth="1"/>
    <col min="2318" max="2318" width="9.28515625" style="6" customWidth="1"/>
    <col min="2319" max="2319" width="5.85546875" style="6" customWidth="1"/>
    <col min="2320" max="2320" width="4.28515625" style="6" bestFit="1" customWidth="1"/>
    <col min="2321" max="2321" width="8.42578125" style="6" bestFit="1" customWidth="1"/>
    <col min="2322" max="2322" width="12.7109375" style="6" customWidth="1"/>
    <col min="2323" max="2331" width="9.140625" style="6"/>
    <col min="2332" max="2332" width="8.140625" style="6" customWidth="1"/>
    <col min="2333" max="2560" width="9.140625" style="6"/>
    <col min="2561" max="2561" width="8.7109375" style="6" customWidth="1"/>
    <col min="2562" max="2562" width="10.5703125" style="6" customWidth="1"/>
    <col min="2563" max="2563" width="20.7109375" style="6" customWidth="1"/>
    <col min="2564" max="2564" width="8.28515625" style="6" customWidth="1"/>
    <col min="2565" max="2566" width="20.7109375" style="6" customWidth="1"/>
    <col min="2567" max="2570" width="7.7109375" style="6" customWidth="1"/>
    <col min="2571" max="2571" width="8.7109375" style="6" customWidth="1"/>
    <col min="2572" max="2572" width="7.7109375" style="6" customWidth="1"/>
    <col min="2573" max="2573" width="12.85546875" style="6" customWidth="1"/>
    <col min="2574" max="2574" width="9.28515625" style="6" customWidth="1"/>
    <col min="2575" max="2575" width="5.85546875" style="6" customWidth="1"/>
    <col min="2576" max="2576" width="4.28515625" style="6" bestFit="1" customWidth="1"/>
    <col min="2577" max="2577" width="8.42578125" style="6" bestFit="1" customWidth="1"/>
    <col min="2578" max="2578" width="12.7109375" style="6" customWidth="1"/>
    <col min="2579" max="2587" width="9.140625" style="6"/>
    <col min="2588" max="2588" width="8.140625" style="6" customWidth="1"/>
    <col min="2589" max="2816" width="9.140625" style="6"/>
    <col min="2817" max="2817" width="8.7109375" style="6" customWidth="1"/>
    <col min="2818" max="2818" width="10.5703125" style="6" customWidth="1"/>
    <col min="2819" max="2819" width="20.7109375" style="6" customWidth="1"/>
    <col min="2820" max="2820" width="8.28515625" style="6" customWidth="1"/>
    <col min="2821" max="2822" width="20.7109375" style="6" customWidth="1"/>
    <col min="2823" max="2826" width="7.7109375" style="6" customWidth="1"/>
    <col min="2827" max="2827" width="8.7109375" style="6" customWidth="1"/>
    <col min="2828" max="2828" width="7.7109375" style="6" customWidth="1"/>
    <col min="2829" max="2829" width="12.85546875" style="6" customWidth="1"/>
    <col min="2830" max="2830" width="9.28515625" style="6" customWidth="1"/>
    <col min="2831" max="2831" width="5.85546875" style="6" customWidth="1"/>
    <col min="2832" max="2832" width="4.28515625" style="6" bestFit="1" customWidth="1"/>
    <col min="2833" max="2833" width="8.42578125" style="6" bestFit="1" customWidth="1"/>
    <col min="2834" max="2834" width="12.7109375" style="6" customWidth="1"/>
    <col min="2835" max="2843" width="9.140625" style="6"/>
    <col min="2844" max="2844" width="8.140625" style="6" customWidth="1"/>
    <col min="2845" max="3072" width="9.140625" style="6"/>
    <col min="3073" max="3073" width="8.7109375" style="6" customWidth="1"/>
    <col min="3074" max="3074" width="10.5703125" style="6" customWidth="1"/>
    <col min="3075" max="3075" width="20.7109375" style="6" customWidth="1"/>
    <col min="3076" max="3076" width="8.28515625" style="6" customWidth="1"/>
    <col min="3077" max="3078" width="20.7109375" style="6" customWidth="1"/>
    <col min="3079" max="3082" width="7.7109375" style="6" customWidth="1"/>
    <col min="3083" max="3083" width="8.7109375" style="6" customWidth="1"/>
    <col min="3084" max="3084" width="7.7109375" style="6" customWidth="1"/>
    <col min="3085" max="3085" width="12.85546875" style="6" customWidth="1"/>
    <col min="3086" max="3086" width="9.28515625" style="6" customWidth="1"/>
    <col min="3087" max="3087" width="5.85546875" style="6" customWidth="1"/>
    <col min="3088" max="3088" width="4.28515625" style="6" bestFit="1" customWidth="1"/>
    <col min="3089" max="3089" width="8.42578125" style="6" bestFit="1" customWidth="1"/>
    <col min="3090" max="3090" width="12.7109375" style="6" customWidth="1"/>
    <col min="3091" max="3099" width="9.140625" style="6"/>
    <col min="3100" max="3100" width="8.140625" style="6" customWidth="1"/>
    <col min="3101" max="3328" width="9.140625" style="6"/>
    <col min="3329" max="3329" width="8.7109375" style="6" customWidth="1"/>
    <col min="3330" max="3330" width="10.5703125" style="6" customWidth="1"/>
    <col min="3331" max="3331" width="20.7109375" style="6" customWidth="1"/>
    <col min="3332" max="3332" width="8.28515625" style="6" customWidth="1"/>
    <col min="3333" max="3334" width="20.7109375" style="6" customWidth="1"/>
    <col min="3335" max="3338" width="7.7109375" style="6" customWidth="1"/>
    <col min="3339" max="3339" width="8.7109375" style="6" customWidth="1"/>
    <col min="3340" max="3340" width="7.7109375" style="6" customWidth="1"/>
    <col min="3341" max="3341" width="12.85546875" style="6" customWidth="1"/>
    <col min="3342" max="3342" width="9.28515625" style="6" customWidth="1"/>
    <col min="3343" max="3343" width="5.85546875" style="6" customWidth="1"/>
    <col min="3344" max="3344" width="4.28515625" style="6" bestFit="1" customWidth="1"/>
    <col min="3345" max="3345" width="8.42578125" style="6" bestFit="1" customWidth="1"/>
    <col min="3346" max="3346" width="12.7109375" style="6" customWidth="1"/>
    <col min="3347" max="3355" width="9.140625" style="6"/>
    <col min="3356" max="3356" width="8.140625" style="6" customWidth="1"/>
    <col min="3357" max="3584" width="9.140625" style="6"/>
    <col min="3585" max="3585" width="8.7109375" style="6" customWidth="1"/>
    <col min="3586" max="3586" width="10.5703125" style="6" customWidth="1"/>
    <col min="3587" max="3587" width="20.7109375" style="6" customWidth="1"/>
    <col min="3588" max="3588" width="8.28515625" style="6" customWidth="1"/>
    <col min="3589" max="3590" width="20.7109375" style="6" customWidth="1"/>
    <col min="3591" max="3594" width="7.7109375" style="6" customWidth="1"/>
    <col min="3595" max="3595" width="8.7109375" style="6" customWidth="1"/>
    <col min="3596" max="3596" width="7.7109375" style="6" customWidth="1"/>
    <col min="3597" max="3597" width="12.85546875" style="6" customWidth="1"/>
    <col min="3598" max="3598" width="9.28515625" style="6" customWidth="1"/>
    <col min="3599" max="3599" width="5.85546875" style="6" customWidth="1"/>
    <col min="3600" max="3600" width="4.28515625" style="6" bestFit="1" customWidth="1"/>
    <col min="3601" max="3601" width="8.42578125" style="6" bestFit="1" customWidth="1"/>
    <col min="3602" max="3602" width="12.7109375" style="6" customWidth="1"/>
    <col min="3603" max="3611" width="9.140625" style="6"/>
    <col min="3612" max="3612" width="8.140625" style="6" customWidth="1"/>
    <col min="3613" max="3840" width="9.140625" style="6"/>
    <col min="3841" max="3841" width="8.7109375" style="6" customWidth="1"/>
    <col min="3842" max="3842" width="10.5703125" style="6" customWidth="1"/>
    <col min="3843" max="3843" width="20.7109375" style="6" customWidth="1"/>
    <col min="3844" max="3844" width="8.28515625" style="6" customWidth="1"/>
    <col min="3845" max="3846" width="20.7109375" style="6" customWidth="1"/>
    <col min="3847" max="3850" width="7.7109375" style="6" customWidth="1"/>
    <col min="3851" max="3851" width="8.7109375" style="6" customWidth="1"/>
    <col min="3852" max="3852" width="7.7109375" style="6" customWidth="1"/>
    <col min="3853" max="3853" width="12.85546875" style="6" customWidth="1"/>
    <col min="3854" max="3854" width="9.28515625" style="6" customWidth="1"/>
    <col min="3855" max="3855" width="5.85546875" style="6" customWidth="1"/>
    <col min="3856" max="3856" width="4.28515625" style="6" bestFit="1" customWidth="1"/>
    <col min="3857" max="3857" width="8.42578125" style="6" bestFit="1" customWidth="1"/>
    <col min="3858" max="3858" width="12.7109375" style="6" customWidth="1"/>
    <col min="3859" max="3867" width="9.140625" style="6"/>
    <col min="3868" max="3868" width="8.140625" style="6" customWidth="1"/>
    <col min="3869" max="4096" width="9.140625" style="6"/>
    <col min="4097" max="4097" width="8.7109375" style="6" customWidth="1"/>
    <col min="4098" max="4098" width="10.5703125" style="6" customWidth="1"/>
    <col min="4099" max="4099" width="20.7109375" style="6" customWidth="1"/>
    <col min="4100" max="4100" width="8.28515625" style="6" customWidth="1"/>
    <col min="4101" max="4102" width="20.7109375" style="6" customWidth="1"/>
    <col min="4103" max="4106" width="7.7109375" style="6" customWidth="1"/>
    <col min="4107" max="4107" width="8.7109375" style="6" customWidth="1"/>
    <col min="4108" max="4108" width="7.7109375" style="6" customWidth="1"/>
    <col min="4109" max="4109" width="12.85546875" style="6" customWidth="1"/>
    <col min="4110" max="4110" width="9.28515625" style="6" customWidth="1"/>
    <col min="4111" max="4111" width="5.85546875" style="6" customWidth="1"/>
    <col min="4112" max="4112" width="4.28515625" style="6" bestFit="1" customWidth="1"/>
    <col min="4113" max="4113" width="8.42578125" style="6" bestFit="1" customWidth="1"/>
    <col min="4114" max="4114" width="12.7109375" style="6" customWidth="1"/>
    <col min="4115" max="4123" width="9.140625" style="6"/>
    <col min="4124" max="4124" width="8.140625" style="6" customWidth="1"/>
    <col min="4125" max="4352" width="9.140625" style="6"/>
    <col min="4353" max="4353" width="8.7109375" style="6" customWidth="1"/>
    <col min="4354" max="4354" width="10.5703125" style="6" customWidth="1"/>
    <col min="4355" max="4355" width="20.7109375" style="6" customWidth="1"/>
    <col min="4356" max="4356" width="8.28515625" style="6" customWidth="1"/>
    <col min="4357" max="4358" width="20.7109375" style="6" customWidth="1"/>
    <col min="4359" max="4362" width="7.7109375" style="6" customWidth="1"/>
    <col min="4363" max="4363" width="8.7109375" style="6" customWidth="1"/>
    <col min="4364" max="4364" width="7.7109375" style="6" customWidth="1"/>
    <col min="4365" max="4365" width="12.85546875" style="6" customWidth="1"/>
    <col min="4366" max="4366" width="9.28515625" style="6" customWidth="1"/>
    <col min="4367" max="4367" width="5.85546875" style="6" customWidth="1"/>
    <col min="4368" max="4368" width="4.28515625" style="6" bestFit="1" customWidth="1"/>
    <col min="4369" max="4369" width="8.42578125" style="6" bestFit="1" customWidth="1"/>
    <col min="4370" max="4370" width="12.7109375" style="6" customWidth="1"/>
    <col min="4371" max="4379" width="9.140625" style="6"/>
    <col min="4380" max="4380" width="8.140625" style="6" customWidth="1"/>
    <col min="4381" max="4608" width="9.140625" style="6"/>
    <col min="4609" max="4609" width="8.7109375" style="6" customWidth="1"/>
    <col min="4610" max="4610" width="10.5703125" style="6" customWidth="1"/>
    <col min="4611" max="4611" width="20.7109375" style="6" customWidth="1"/>
    <col min="4612" max="4612" width="8.28515625" style="6" customWidth="1"/>
    <col min="4613" max="4614" width="20.7109375" style="6" customWidth="1"/>
    <col min="4615" max="4618" width="7.7109375" style="6" customWidth="1"/>
    <col min="4619" max="4619" width="8.7109375" style="6" customWidth="1"/>
    <col min="4620" max="4620" width="7.7109375" style="6" customWidth="1"/>
    <col min="4621" max="4621" width="12.85546875" style="6" customWidth="1"/>
    <col min="4622" max="4622" width="9.28515625" style="6" customWidth="1"/>
    <col min="4623" max="4623" width="5.85546875" style="6" customWidth="1"/>
    <col min="4624" max="4624" width="4.28515625" style="6" bestFit="1" customWidth="1"/>
    <col min="4625" max="4625" width="8.42578125" style="6" bestFit="1" customWidth="1"/>
    <col min="4626" max="4626" width="12.7109375" style="6" customWidth="1"/>
    <col min="4627" max="4635" width="9.140625" style="6"/>
    <col min="4636" max="4636" width="8.140625" style="6" customWidth="1"/>
    <col min="4637" max="4864" width="9.140625" style="6"/>
    <col min="4865" max="4865" width="8.7109375" style="6" customWidth="1"/>
    <col min="4866" max="4866" width="10.5703125" style="6" customWidth="1"/>
    <col min="4867" max="4867" width="20.7109375" style="6" customWidth="1"/>
    <col min="4868" max="4868" width="8.28515625" style="6" customWidth="1"/>
    <col min="4869" max="4870" width="20.7109375" style="6" customWidth="1"/>
    <col min="4871" max="4874" width="7.7109375" style="6" customWidth="1"/>
    <col min="4875" max="4875" width="8.7109375" style="6" customWidth="1"/>
    <col min="4876" max="4876" width="7.7109375" style="6" customWidth="1"/>
    <col min="4877" max="4877" width="12.85546875" style="6" customWidth="1"/>
    <col min="4878" max="4878" width="9.28515625" style="6" customWidth="1"/>
    <col min="4879" max="4879" width="5.85546875" style="6" customWidth="1"/>
    <col min="4880" max="4880" width="4.28515625" style="6" bestFit="1" customWidth="1"/>
    <col min="4881" max="4881" width="8.42578125" style="6" bestFit="1" customWidth="1"/>
    <col min="4882" max="4882" width="12.7109375" style="6" customWidth="1"/>
    <col min="4883" max="4891" width="9.140625" style="6"/>
    <col min="4892" max="4892" width="8.140625" style="6" customWidth="1"/>
    <col min="4893" max="5120" width="9.140625" style="6"/>
    <col min="5121" max="5121" width="8.7109375" style="6" customWidth="1"/>
    <col min="5122" max="5122" width="10.5703125" style="6" customWidth="1"/>
    <col min="5123" max="5123" width="20.7109375" style="6" customWidth="1"/>
    <col min="5124" max="5124" width="8.28515625" style="6" customWidth="1"/>
    <col min="5125" max="5126" width="20.7109375" style="6" customWidth="1"/>
    <col min="5127" max="5130" width="7.7109375" style="6" customWidth="1"/>
    <col min="5131" max="5131" width="8.7109375" style="6" customWidth="1"/>
    <col min="5132" max="5132" width="7.7109375" style="6" customWidth="1"/>
    <col min="5133" max="5133" width="12.85546875" style="6" customWidth="1"/>
    <col min="5134" max="5134" width="9.28515625" style="6" customWidth="1"/>
    <col min="5135" max="5135" width="5.85546875" style="6" customWidth="1"/>
    <col min="5136" max="5136" width="4.28515625" style="6" bestFit="1" customWidth="1"/>
    <col min="5137" max="5137" width="8.42578125" style="6" bestFit="1" customWidth="1"/>
    <col min="5138" max="5138" width="12.7109375" style="6" customWidth="1"/>
    <col min="5139" max="5147" width="9.140625" style="6"/>
    <col min="5148" max="5148" width="8.140625" style="6" customWidth="1"/>
    <col min="5149" max="5376" width="9.140625" style="6"/>
    <col min="5377" max="5377" width="8.7109375" style="6" customWidth="1"/>
    <col min="5378" max="5378" width="10.5703125" style="6" customWidth="1"/>
    <col min="5379" max="5379" width="20.7109375" style="6" customWidth="1"/>
    <col min="5380" max="5380" width="8.28515625" style="6" customWidth="1"/>
    <col min="5381" max="5382" width="20.7109375" style="6" customWidth="1"/>
    <col min="5383" max="5386" width="7.7109375" style="6" customWidth="1"/>
    <col min="5387" max="5387" width="8.7109375" style="6" customWidth="1"/>
    <col min="5388" max="5388" width="7.7109375" style="6" customWidth="1"/>
    <col min="5389" max="5389" width="12.85546875" style="6" customWidth="1"/>
    <col min="5390" max="5390" width="9.28515625" style="6" customWidth="1"/>
    <col min="5391" max="5391" width="5.85546875" style="6" customWidth="1"/>
    <col min="5392" max="5392" width="4.28515625" style="6" bestFit="1" customWidth="1"/>
    <col min="5393" max="5393" width="8.42578125" style="6" bestFit="1" customWidth="1"/>
    <col min="5394" max="5394" width="12.7109375" style="6" customWidth="1"/>
    <col min="5395" max="5403" width="9.140625" style="6"/>
    <col min="5404" max="5404" width="8.140625" style="6" customWidth="1"/>
    <col min="5405" max="5632" width="9.140625" style="6"/>
    <col min="5633" max="5633" width="8.7109375" style="6" customWidth="1"/>
    <col min="5634" max="5634" width="10.5703125" style="6" customWidth="1"/>
    <col min="5635" max="5635" width="20.7109375" style="6" customWidth="1"/>
    <col min="5636" max="5636" width="8.28515625" style="6" customWidth="1"/>
    <col min="5637" max="5638" width="20.7109375" style="6" customWidth="1"/>
    <col min="5639" max="5642" width="7.7109375" style="6" customWidth="1"/>
    <col min="5643" max="5643" width="8.7109375" style="6" customWidth="1"/>
    <col min="5644" max="5644" width="7.7109375" style="6" customWidth="1"/>
    <col min="5645" max="5645" width="12.85546875" style="6" customWidth="1"/>
    <col min="5646" max="5646" width="9.28515625" style="6" customWidth="1"/>
    <col min="5647" max="5647" width="5.85546875" style="6" customWidth="1"/>
    <col min="5648" max="5648" width="4.28515625" style="6" bestFit="1" customWidth="1"/>
    <col min="5649" max="5649" width="8.42578125" style="6" bestFit="1" customWidth="1"/>
    <col min="5650" max="5650" width="12.7109375" style="6" customWidth="1"/>
    <col min="5651" max="5659" width="9.140625" style="6"/>
    <col min="5660" max="5660" width="8.140625" style="6" customWidth="1"/>
    <col min="5661" max="5888" width="9.140625" style="6"/>
    <col min="5889" max="5889" width="8.7109375" style="6" customWidth="1"/>
    <col min="5890" max="5890" width="10.5703125" style="6" customWidth="1"/>
    <col min="5891" max="5891" width="20.7109375" style="6" customWidth="1"/>
    <col min="5892" max="5892" width="8.28515625" style="6" customWidth="1"/>
    <col min="5893" max="5894" width="20.7109375" style="6" customWidth="1"/>
    <col min="5895" max="5898" width="7.7109375" style="6" customWidth="1"/>
    <col min="5899" max="5899" width="8.7109375" style="6" customWidth="1"/>
    <col min="5900" max="5900" width="7.7109375" style="6" customWidth="1"/>
    <col min="5901" max="5901" width="12.85546875" style="6" customWidth="1"/>
    <col min="5902" max="5902" width="9.28515625" style="6" customWidth="1"/>
    <col min="5903" max="5903" width="5.85546875" style="6" customWidth="1"/>
    <col min="5904" max="5904" width="4.28515625" style="6" bestFit="1" customWidth="1"/>
    <col min="5905" max="5905" width="8.42578125" style="6" bestFit="1" customWidth="1"/>
    <col min="5906" max="5906" width="12.7109375" style="6" customWidth="1"/>
    <col min="5907" max="5915" width="9.140625" style="6"/>
    <col min="5916" max="5916" width="8.140625" style="6" customWidth="1"/>
    <col min="5917" max="6144" width="9.140625" style="6"/>
    <col min="6145" max="6145" width="8.7109375" style="6" customWidth="1"/>
    <col min="6146" max="6146" width="10.5703125" style="6" customWidth="1"/>
    <col min="6147" max="6147" width="20.7109375" style="6" customWidth="1"/>
    <col min="6148" max="6148" width="8.28515625" style="6" customWidth="1"/>
    <col min="6149" max="6150" width="20.7109375" style="6" customWidth="1"/>
    <col min="6151" max="6154" width="7.7109375" style="6" customWidth="1"/>
    <col min="6155" max="6155" width="8.7109375" style="6" customWidth="1"/>
    <col min="6156" max="6156" width="7.7109375" style="6" customWidth="1"/>
    <col min="6157" max="6157" width="12.85546875" style="6" customWidth="1"/>
    <col min="6158" max="6158" width="9.28515625" style="6" customWidth="1"/>
    <col min="6159" max="6159" width="5.85546875" style="6" customWidth="1"/>
    <col min="6160" max="6160" width="4.28515625" style="6" bestFit="1" customWidth="1"/>
    <col min="6161" max="6161" width="8.42578125" style="6" bestFit="1" customWidth="1"/>
    <col min="6162" max="6162" width="12.7109375" style="6" customWidth="1"/>
    <col min="6163" max="6171" width="9.140625" style="6"/>
    <col min="6172" max="6172" width="8.140625" style="6" customWidth="1"/>
    <col min="6173" max="6400" width="9.140625" style="6"/>
    <col min="6401" max="6401" width="8.7109375" style="6" customWidth="1"/>
    <col min="6402" max="6402" width="10.5703125" style="6" customWidth="1"/>
    <col min="6403" max="6403" width="20.7109375" style="6" customWidth="1"/>
    <col min="6404" max="6404" width="8.28515625" style="6" customWidth="1"/>
    <col min="6405" max="6406" width="20.7109375" style="6" customWidth="1"/>
    <col min="6407" max="6410" width="7.7109375" style="6" customWidth="1"/>
    <col min="6411" max="6411" width="8.7109375" style="6" customWidth="1"/>
    <col min="6412" max="6412" width="7.7109375" style="6" customWidth="1"/>
    <col min="6413" max="6413" width="12.85546875" style="6" customWidth="1"/>
    <col min="6414" max="6414" width="9.28515625" style="6" customWidth="1"/>
    <col min="6415" max="6415" width="5.85546875" style="6" customWidth="1"/>
    <col min="6416" max="6416" width="4.28515625" style="6" bestFit="1" customWidth="1"/>
    <col min="6417" max="6417" width="8.42578125" style="6" bestFit="1" customWidth="1"/>
    <col min="6418" max="6418" width="12.7109375" style="6" customWidth="1"/>
    <col min="6419" max="6427" width="9.140625" style="6"/>
    <col min="6428" max="6428" width="8.140625" style="6" customWidth="1"/>
    <col min="6429" max="6656" width="9.140625" style="6"/>
    <col min="6657" max="6657" width="8.7109375" style="6" customWidth="1"/>
    <col min="6658" max="6658" width="10.5703125" style="6" customWidth="1"/>
    <col min="6659" max="6659" width="20.7109375" style="6" customWidth="1"/>
    <col min="6660" max="6660" width="8.28515625" style="6" customWidth="1"/>
    <col min="6661" max="6662" width="20.7109375" style="6" customWidth="1"/>
    <col min="6663" max="6666" width="7.7109375" style="6" customWidth="1"/>
    <col min="6667" max="6667" width="8.7109375" style="6" customWidth="1"/>
    <col min="6668" max="6668" width="7.7109375" style="6" customWidth="1"/>
    <col min="6669" max="6669" width="12.85546875" style="6" customWidth="1"/>
    <col min="6670" max="6670" width="9.28515625" style="6" customWidth="1"/>
    <col min="6671" max="6671" width="5.85546875" style="6" customWidth="1"/>
    <col min="6672" max="6672" width="4.28515625" style="6" bestFit="1" customWidth="1"/>
    <col min="6673" max="6673" width="8.42578125" style="6" bestFit="1" customWidth="1"/>
    <col min="6674" max="6674" width="12.7109375" style="6" customWidth="1"/>
    <col min="6675" max="6683" width="9.140625" style="6"/>
    <col min="6684" max="6684" width="8.140625" style="6" customWidth="1"/>
    <col min="6685" max="6912" width="9.140625" style="6"/>
    <col min="6913" max="6913" width="8.7109375" style="6" customWidth="1"/>
    <col min="6914" max="6914" width="10.5703125" style="6" customWidth="1"/>
    <col min="6915" max="6915" width="20.7109375" style="6" customWidth="1"/>
    <col min="6916" max="6916" width="8.28515625" style="6" customWidth="1"/>
    <col min="6917" max="6918" width="20.7109375" style="6" customWidth="1"/>
    <col min="6919" max="6922" width="7.7109375" style="6" customWidth="1"/>
    <col min="6923" max="6923" width="8.7109375" style="6" customWidth="1"/>
    <col min="6924" max="6924" width="7.7109375" style="6" customWidth="1"/>
    <col min="6925" max="6925" width="12.85546875" style="6" customWidth="1"/>
    <col min="6926" max="6926" width="9.28515625" style="6" customWidth="1"/>
    <col min="6927" max="6927" width="5.85546875" style="6" customWidth="1"/>
    <col min="6928" max="6928" width="4.28515625" style="6" bestFit="1" customWidth="1"/>
    <col min="6929" max="6929" width="8.42578125" style="6" bestFit="1" customWidth="1"/>
    <col min="6930" max="6930" width="12.7109375" style="6" customWidth="1"/>
    <col min="6931" max="6939" width="9.140625" style="6"/>
    <col min="6940" max="6940" width="8.140625" style="6" customWidth="1"/>
    <col min="6941" max="7168" width="9.140625" style="6"/>
    <col min="7169" max="7169" width="8.7109375" style="6" customWidth="1"/>
    <col min="7170" max="7170" width="10.5703125" style="6" customWidth="1"/>
    <col min="7171" max="7171" width="20.7109375" style="6" customWidth="1"/>
    <col min="7172" max="7172" width="8.28515625" style="6" customWidth="1"/>
    <col min="7173" max="7174" width="20.7109375" style="6" customWidth="1"/>
    <col min="7175" max="7178" width="7.7109375" style="6" customWidth="1"/>
    <col min="7179" max="7179" width="8.7109375" style="6" customWidth="1"/>
    <col min="7180" max="7180" width="7.7109375" style="6" customWidth="1"/>
    <col min="7181" max="7181" width="12.85546875" style="6" customWidth="1"/>
    <col min="7182" max="7182" width="9.28515625" style="6" customWidth="1"/>
    <col min="7183" max="7183" width="5.85546875" style="6" customWidth="1"/>
    <col min="7184" max="7184" width="4.28515625" style="6" bestFit="1" customWidth="1"/>
    <col min="7185" max="7185" width="8.42578125" style="6" bestFit="1" customWidth="1"/>
    <col min="7186" max="7186" width="12.7109375" style="6" customWidth="1"/>
    <col min="7187" max="7195" width="9.140625" style="6"/>
    <col min="7196" max="7196" width="8.140625" style="6" customWidth="1"/>
    <col min="7197" max="7424" width="9.140625" style="6"/>
    <col min="7425" max="7425" width="8.7109375" style="6" customWidth="1"/>
    <col min="7426" max="7426" width="10.5703125" style="6" customWidth="1"/>
    <col min="7427" max="7427" width="20.7109375" style="6" customWidth="1"/>
    <col min="7428" max="7428" width="8.28515625" style="6" customWidth="1"/>
    <col min="7429" max="7430" width="20.7109375" style="6" customWidth="1"/>
    <col min="7431" max="7434" width="7.7109375" style="6" customWidth="1"/>
    <col min="7435" max="7435" width="8.7109375" style="6" customWidth="1"/>
    <col min="7436" max="7436" width="7.7109375" style="6" customWidth="1"/>
    <col min="7437" max="7437" width="12.85546875" style="6" customWidth="1"/>
    <col min="7438" max="7438" width="9.28515625" style="6" customWidth="1"/>
    <col min="7439" max="7439" width="5.85546875" style="6" customWidth="1"/>
    <col min="7440" max="7440" width="4.28515625" style="6" bestFit="1" customWidth="1"/>
    <col min="7441" max="7441" width="8.42578125" style="6" bestFit="1" customWidth="1"/>
    <col min="7442" max="7442" width="12.7109375" style="6" customWidth="1"/>
    <col min="7443" max="7451" width="9.140625" style="6"/>
    <col min="7452" max="7452" width="8.140625" style="6" customWidth="1"/>
    <col min="7453" max="7680" width="9.140625" style="6"/>
    <col min="7681" max="7681" width="8.7109375" style="6" customWidth="1"/>
    <col min="7682" max="7682" width="10.5703125" style="6" customWidth="1"/>
    <col min="7683" max="7683" width="20.7109375" style="6" customWidth="1"/>
    <col min="7684" max="7684" width="8.28515625" style="6" customWidth="1"/>
    <col min="7685" max="7686" width="20.7109375" style="6" customWidth="1"/>
    <col min="7687" max="7690" width="7.7109375" style="6" customWidth="1"/>
    <col min="7691" max="7691" width="8.7109375" style="6" customWidth="1"/>
    <col min="7692" max="7692" width="7.7109375" style="6" customWidth="1"/>
    <col min="7693" max="7693" width="12.85546875" style="6" customWidth="1"/>
    <col min="7694" max="7694" width="9.28515625" style="6" customWidth="1"/>
    <col min="7695" max="7695" width="5.85546875" style="6" customWidth="1"/>
    <col min="7696" max="7696" width="4.28515625" style="6" bestFit="1" customWidth="1"/>
    <col min="7697" max="7697" width="8.42578125" style="6" bestFit="1" customWidth="1"/>
    <col min="7698" max="7698" width="12.7109375" style="6" customWidth="1"/>
    <col min="7699" max="7707" width="9.140625" style="6"/>
    <col min="7708" max="7708" width="8.140625" style="6" customWidth="1"/>
    <col min="7709" max="7936" width="9.140625" style="6"/>
    <col min="7937" max="7937" width="8.7109375" style="6" customWidth="1"/>
    <col min="7938" max="7938" width="10.5703125" style="6" customWidth="1"/>
    <col min="7939" max="7939" width="20.7109375" style="6" customWidth="1"/>
    <col min="7940" max="7940" width="8.28515625" style="6" customWidth="1"/>
    <col min="7941" max="7942" width="20.7109375" style="6" customWidth="1"/>
    <col min="7943" max="7946" width="7.7109375" style="6" customWidth="1"/>
    <col min="7947" max="7947" width="8.7109375" style="6" customWidth="1"/>
    <col min="7948" max="7948" width="7.7109375" style="6" customWidth="1"/>
    <col min="7949" max="7949" width="12.85546875" style="6" customWidth="1"/>
    <col min="7950" max="7950" width="9.28515625" style="6" customWidth="1"/>
    <col min="7951" max="7951" width="5.85546875" style="6" customWidth="1"/>
    <col min="7952" max="7952" width="4.28515625" style="6" bestFit="1" customWidth="1"/>
    <col min="7953" max="7953" width="8.42578125" style="6" bestFit="1" customWidth="1"/>
    <col min="7954" max="7954" width="12.7109375" style="6" customWidth="1"/>
    <col min="7955" max="7963" width="9.140625" style="6"/>
    <col min="7964" max="7964" width="8.140625" style="6" customWidth="1"/>
    <col min="7965" max="8192" width="9.140625" style="6"/>
    <col min="8193" max="8193" width="8.7109375" style="6" customWidth="1"/>
    <col min="8194" max="8194" width="10.5703125" style="6" customWidth="1"/>
    <col min="8195" max="8195" width="20.7109375" style="6" customWidth="1"/>
    <col min="8196" max="8196" width="8.28515625" style="6" customWidth="1"/>
    <col min="8197" max="8198" width="20.7109375" style="6" customWidth="1"/>
    <col min="8199" max="8202" width="7.7109375" style="6" customWidth="1"/>
    <col min="8203" max="8203" width="8.7109375" style="6" customWidth="1"/>
    <col min="8204" max="8204" width="7.7109375" style="6" customWidth="1"/>
    <col min="8205" max="8205" width="12.85546875" style="6" customWidth="1"/>
    <col min="8206" max="8206" width="9.28515625" style="6" customWidth="1"/>
    <col min="8207" max="8207" width="5.85546875" style="6" customWidth="1"/>
    <col min="8208" max="8208" width="4.28515625" style="6" bestFit="1" customWidth="1"/>
    <col min="8209" max="8209" width="8.42578125" style="6" bestFit="1" customWidth="1"/>
    <col min="8210" max="8210" width="12.7109375" style="6" customWidth="1"/>
    <col min="8211" max="8219" width="9.140625" style="6"/>
    <col min="8220" max="8220" width="8.140625" style="6" customWidth="1"/>
    <col min="8221" max="8448" width="9.140625" style="6"/>
    <col min="8449" max="8449" width="8.7109375" style="6" customWidth="1"/>
    <col min="8450" max="8450" width="10.5703125" style="6" customWidth="1"/>
    <col min="8451" max="8451" width="20.7109375" style="6" customWidth="1"/>
    <col min="8452" max="8452" width="8.28515625" style="6" customWidth="1"/>
    <col min="8453" max="8454" width="20.7109375" style="6" customWidth="1"/>
    <col min="8455" max="8458" width="7.7109375" style="6" customWidth="1"/>
    <col min="8459" max="8459" width="8.7109375" style="6" customWidth="1"/>
    <col min="8460" max="8460" width="7.7109375" style="6" customWidth="1"/>
    <col min="8461" max="8461" width="12.85546875" style="6" customWidth="1"/>
    <col min="8462" max="8462" width="9.28515625" style="6" customWidth="1"/>
    <col min="8463" max="8463" width="5.85546875" style="6" customWidth="1"/>
    <col min="8464" max="8464" width="4.28515625" style="6" bestFit="1" customWidth="1"/>
    <col min="8465" max="8465" width="8.42578125" style="6" bestFit="1" customWidth="1"/>
    <col min="8466" max="8466" width="12.7109375" style="6" customWidth="1"/>
    <col min="8467" max="8475" width="9.140625" style="6"/>
    <col min="8476" max="8476" width="8.140625" style="6" customWidth="1"/>
    <col min="8477" max="8704" width="9.140625" style="6"/>
    <col min="8705" max="8705" width="8.7109375" style="6" customWidth="1"/>
    <col min="8706" max="8706" width="10.5703125" style="6" customWidth="1"/>
    <col min="8707" max="8707" width="20.7109375" style="6" customWidth="1"/>
    <col min="8708" max="8708" width="8.28515625" style="6" customWidth="1"/>
    <col min="8709" max="8710" width="20.7109375" style="6" customWidth="1"/>
    <col min="8711" max="8714" width="7.7109375" style="6" customWidth="1"/>
    <col min="8715" max="8715" width="8.7109375" style="6" customWidth="1"/>
    <col min="8716" max="8716" width="7.7109375" style="6" customWidth="1"/>
    <col min="8717" max="8717" width="12.85546875" style="6" customWidth="1"/>
    <col min="8718" max="8718" width="9.28515625" style="6" customWidth="1"/>
    <col min="8719" max="8719" width="5.85546875" style="6" customWidth="1"/>
    <col min="8720" max="8720" width="4.28515625" style="6" bestFit="1" customWidth="1"/>
    <col min="8721" max="8721" width="8.42578125" style="6" bestFit="1" customWidth="1"/>
    <col min="8722" max="8722" width="12.7109375" style="6" customWidth="1"/>
    <col min="8723" max="8731" width="9.140625" style="6"/>
    <col min="8732" max="8732" width="8.140625" style="6" customWidth="1"/>
    <col min="8733" max="8960" width="9.140625" style="6"/>
    <col min="8961" max="8961" width="8.7109375" style="6" customWidth="1"/>
    <col min="8962" max="8962" width="10.5703125" style="6" customWidth="1"/>
    <col min="8963" max="8963" width="20.7109375" style="6" customWidth="1"/>
    <col min="8964" max="8964" width="8.28515625" style="6" customWidth="1"/>
    <col min="8965" max="8966" width="20.7109375" style="6" customWidth="1"/>
    <col min="8967" max="8970" width="7.7109375" style="6" customWidth="1"/>
    <col min="8971" max="8971" width="8.7109375" style="6" customWidth="1"/>
    <col min="8972" max="8972" width="7.7109375" style="6" customWidth="1"/>
    <col min="8973" max="8973" width="12.85546875" style="6" customWidth="1"/>
    <col min="8974" max="8974" width="9.28515625" style="6" customWidth="1"/>
    <col min="8975" max="8975" width="5.85546875" style="6" customWidth="1"/>
    <col min="8976" max="8976" width="4.28515625" style="6" bestFit="1" customWidth="1"/>
    <col min="8977" max="8977" width="8.42578125" style="6" bestFit="1" customWidth="1"/>
    <col min="8978" max="8978" width="12.7109375" style="6" customWidth="1"/>
    <col min="8979" max="8987" width="9.140625" style="6"/>
    <col min="8988" max="8988" width="8.140625" style="6" customWidth="1"/>
    <col min="8989" max="9216" width="9.140625" style="6"/>
    <col min="9217" max="9217" width="8.7109375" style="6" customWidth="1"/>
    <col min="9218" max="9218" width="10.5703125" style="6" customWidth="1"/>
    <col min="9219" max="9219" width="20.7109375" style="6" customWidth="1"/>
    <col min="9220" max="9220" width="8.28515625" style="6" customWidth="1"/>
    <col min="9221" max="9222" width="20.7109375" style="6" customWidth="1"/>
    <col min="9223" max="9226" width="7.7109375" style="6" customWidth="1"/>
    <col min="9227" max="9227" width="8.7109375" style="6" customWidth="1"/>
    <col min="9228" max="9228" width="7.7109375" style="6" customWidth="1"/>
    <col min="9229" max="9229" width="12.85546875" style="6" customWidth="1"/>
    <col min="9230" max="9230" width="9.28515625" style="6" customWidth="1"/>
    <col min="9231" max="9231" width="5.85546875" style="6" customWidth="1"/>
    <col min="9232" max="9232" width="4.28515625" style="6" bestFit="1" customWidth="1"/>
    <col min="9233" max="9233" width="8.42578125" style="6" bestFit="1" customWidth="1"/>
    <col min="9234" max="9234" width="12.7109375" style="6" customWidth="1"/>
    <col min="9235" max="9243" width="9.140625" style="6"/>
    <col min="9244" max="9244" width="8.140625" style="6" customWidth="1"/>
    <col min="9245" max="9472" width="9.140625" style="6"/>
    <col min="9473" max="9473" width="8.7109375" style="6" customWidth="1"/>
    <col min="9474" max="9474" width="10.5703125" style="6" customWidth="1"/>
    <col min="9475" max="9475" width="20.7109375" style="6" customWidth="1"/>
    <col min="9476" max="9476" width="8.28515625" style="6" customWidth="1"/>
    <col min="9477" max="9478" width="20.7109375" style="6" customWidth="1"/>
    <col min="9479" max="9482" width="7.7109375" style="6" customWidth="1"/>
    <col min="9483" max="9483" width="8.7109375" style="6" customWidth="1"/>
    <col min="9484" max="9484" width="7.7109375" style="6" customWidth="1"/>
    <col min="9485" max="9485" width="12.85546875" style="6" customWidth="1"/>
    <col min="9486" max="9486" width="9.28515625" style="6" customWidth="1"/>
    <col min="9487" max="9487" width="5.85546875" style="6" customWidth="1"/>
    <col min="9488" max="9488" width="4.28515625" style="6" bestFit="1" customWidth="1"/>
    <col min="9489" max="9489" width="8.42578125" style="6" bestFit="1" customWidth="1"/>
    <col min="9490" max="9490" width="12.7109375" style="6" customWidth="1"/>
    <col min="9491" max="9499" width="9.140625" style="6"/>
    <col min="9500" max="9500" width="8.140625" style="6" customWidth="1"/>
    <col min="9501" max="9728" width="9.140625" style="6"/>
    <col min="9729" max="9729" width="8.7109375" style="6" customWidth="1"/>
    <col min="9730" max="9730" width="10.5703125" style="6" customWidth="1"/>
    <col min="9731" max="9731" width="20.7109375" style="6" customWidth="1"/>
    <col min="9732" max="9732" width="8.28515625" style="6" customWidth="1"/>
    <col min="9733" max="9734" width="20.7109375" style="6" customWidth="1"/>
    <col min="9735" max="9738" width="7.7109375" style="6" customWidth="1"/>
    <col min="9739" max="9739" width="8.7109375" style="6" customWidth="1"/>
    <col min="9740" max="9740" width="7.7109375" style="6" customWidth="1"/>
    <col min="9741" max="9741" width="12.85546875" style="6" customWidth="1"/>
    <col min="9742" max="9742" width="9.28515625" style="6" customWidth="1"/>
    <col min="9743" max="9743" width="5.85546875" style="6" customWidth="1"/>
    <col min="9744" max="9744" width="4.28515625" style="6" bestFit="1" customWidth="1"/>
    <col min="9745" max="9745" width="8.42578125" style="6" bestFit="1" customWidth="1"/>
    <col min="9746" max="9746" width="12.7109375" style="6" customWidth="1"/>
    <col min="9747" max="9755" width="9.140625" style="6"/>
    <col min="9756" max="9756" width="8.140625" style="6" customWidth="1"/>
    <col min="9757" max="9984" width="9.140625" style="6"/>
    <col min="9985" max="9985" width="8.7109375" style="6" customWidth="1"/>
    <col min="9986" max="9986" width="10.5703125" style="6" customWidth="1"/>
    <col min="9987" max="9987" width="20.7109375" style="6" customWidth="1"/>
    <col min="9988" max="9988" width="8.28515625" style="6" customWidth="1"/>
    <col min="9989" max="9990" width="20.7109375" style="6" customWidth="1"/>
    <col min="9991" max="9994" width="7.7109375" style="6" customWidth="1"/>
    <col min="9995" max="9995" width="8.7109375" style="6" customWidth="1"/>
    <col min="9996" max="9996" width="7.7109375" style="6" customWidth="1"/>
    <col min="9997" max="9997" width="12.85546875" style="6" customWidth="1"/>
    <col min="9998" max="9998" width="9.28515625" style="6" customWidth="1"/>
    <col min="9999" max="9999" width="5.85546875" style="6" customWidth="1"/>
    <col min="10000" max="10000" width="4.28515625" style="6" bestFit="1" customWidth="1"/>
    <col min="10001" max="10001" width="8.42578125" style="6" bestFit="1" customWidth="1"/>
    <col min="10002" max="10002" width="12.7109375" style="6" customWidth="1"/>
    <col min="10003" max="10011" width="9.140625" style="6"/>
    <col min="10012" max="10012" width="8.140625" style="6" customWidth="1"/>
    <col min="10013" max="10240" width="9.140625" style="6"/>
    <col min="10241" max="10241" width="8.7109375" style="6" customWidth="1"/>
    <col min="10242" max="10242" width="10.5703125" style="6" customWidth="1"/>
    <col min="10243" max="10243" width="20.7109375" style="6" customWidth="1"/>
    <col min="10244" max="10244" width="8.28515625" style="6" customWidth="1"/>
    <col min="10245" max="10246" width="20.7109375" style="6" customWidth="1"/>
    <col min="10247" max="10250" width="7.7109375" style="6" customWidth="1"/>
    <col min="10251" max="10251" width="8.7109375" style="6" customWidth="1"/>
    <col min="10252" max="10252" width="7.7109375" style="6" customWidth="1"/>
    <col min="10253" max="10253" width="12.85546875" style="6" customWidth="1"/>
    <col min="10254" max="10254" width="9.28515625" style="6" customWidth="1"/>
    <col min="10255" max="10255" width="5.85546875" style="6" customWidth="1"/>
    <col min="10256" max="10256" width="4.28515625" style="6" bestFit="1" customWidth="1"/>
    <col min="10257" max="10257" width="8.42578125" style="6" bestFit="1" customWidth="1"/>
    <col min="10258" max="10258" width="12.7109375" style="6" customWidth="1"/>
    <col min="10259" max="10267" width="9.140625" style="6"/>
    <col min="10268" max="10268" width="8.140625" style="6" customWidth="1"/>
    <col min="10269" max="10496" width="9.140625" style="6"/>
    <col min="10497" max="10497" width="8.7109375" style="6" customWidth="1"/>
    <col min="10498" max="10498" width="10.5703125" style="6" customWidth="1"/>
    <col min="10499" max="10499" width="20.7109375" style="6" customWidth="1"/>
    <col min="10500" max="10500" width="8.28515625" style="6" customWidth="1"/>
    <col min="10501" max="10502" width="20.7109375" style="6" customWidth="1"/>
    <col min="10503" max="10506" width="7.7109375" style="6" customWidth="1"/>
    <col min="10507" max="10507" width="8.7109375" style="6" customWidth="1"/>
    <col min="10508" max="10508" width="7.7109375" style="6" customWidth="1"/>
    <col min="10509" max="10509" width="12.85546875" style="6" customWidth="1"/>
    <col min="10510" max="10510" width="9.28515625" style="6" customWidth="1"/>
    <col min="10511" max="10511" width="5.85546875" style="6" customWidth="1"/>
    <col min="10512" max="10512" width="4.28515625" style="6" bestFit="1" customWidth="1"/>
    <col min="10513" max="10513" width="8.42578125" style="6" bestFit="1" customWidth="1"/>
    <col min="10514" max="10514" width="12.7109375" style="6" customWidth="1"/>
    <col min="10515" max="10523" width="9.140625" style="6"/>
    <col min="10524" max="10524" width="8.140625" style="6" customWidth="1"/>
    <col min="10525" max="10752" width="9.140625" style="6"/>
    <col min="10753" max="10753" width="8.7109375" style="6" customWidth="1"/>
    <col min="10754" max="10754" width="10.5703125" style="6" customWidth="1"/>
    <col min="10755" max="10755" width="20.7109375" style="6" customWidth="1"/>
    <col min="10756" max="10756" width="8.28515625" style="6" customWidth="1"/>
    <col min="10757" max="10758" width="20.7109375" style="6" customWidth="1"/>
    <col min="10759" max="10762" width="7.7109375" style="6" customWidth="1"/>
    <col min="10763" max="10763" width="8.7109375" style="6" customWidth="1"/>
    <col min="10764" max="10764" width="7.7109375" style="6" customWidth="1"/>
    <col min="10765" max="10765" width="12.85546875" style="6" customWidth="1"/>
    <col min="10766" max="10766" width="9.28515625" style="6" customWidth="1"/>
    <col min="10767" max="10767" width="5.85546875" style="6" customWidth="1"/>
    <col min="10768" max="10768" width="4.28515625" style="6" bestFit="1" customWidth="1"/>
    <col min="10769" max="10769" width="8.42578125" style="6" bestFit="1" customWidth="1"/>
    <col min="10770" max="10770" width="12.7109375" style="6" customWidth="1"/>
    <col min="10771" max="10779" width="9.140625" style="6"/>
    <col min="10780" max="10780" width="8.140625" style="6" customWidth="1"/>
    <col min="10781" max="11008" width="9.140625" style="6"/>
    <col min="11009" max="11009" width="8.7109375" style="6" customWidth="1"/>
    <col min="11010" max="11010" width="10.5703125" style="6" customWidth="1"/>
    <col min="11011" max="11011" width="20.7109375" style="6" customWidth="1"/>
    <col min="11012" max="11012" width="8.28515625" style="6" customWidth="1"/>
    <col min="11013" max="11014" width="20.7109375" style="6" customWidth="1"/>
    <col min="11015" max="11018" width="7.7109375" style="6" customWidth="1"/>
    <col min="11019" max="11019" width="8.7109375" style="6" customWidth="1"/>
    <col min="11020" max="11020" width="7.7109375" style="6" customWidth="1"/>
    <col min="11021" max="11021" width="12.85546875" style="6" customWidth="1"/>
    <col min="11022" max="11022" width="9.28515625" style="6" customWidth="1"/>
    <col min="11023" max="11023" width="5.85546875" style="6" customWidth="1"/>
    <col min="11024" max="11024" width="4.28515625" style="6" bestFit="1" customWidth="1"/>
    <col min="11025" max="11025" width="8.42578125" style="6" bestFit="1" customWidth="1"/>
    <col min="11026" max="11026" width="12.7109375" style="6" customWidth="1"/>
    <col min="11027" max="11035" width="9.140625" style="6"/>
    <col min="11036" max="11036" width="8.140625" style="6" customWidth="1"/>
    <col min="11037" max="11264" width="9.140625" style="6"/>
    <col min="11265" max="11265" width="8.7109375" style="6" customWidth="1"/>
    <col min="11266" max="11266" width="10.5703125" style="6" customWidth="1"/>
    <col min="11267" max="11267" width="20.7109375" style="6" customWidth="1"/>
    <col min="11268" max="11268" width="8.28515625" style="6" customWidth="1"/>
    <col min="11269" max="11270" width="20.7109375" style="6" customWidth="1"/>
    <col min="11271" max="11274" width="7.7109375" style="6" customWidth="1"/>
    <col min="11275" max="11275" width="8.7109375" style="6" customWidth="1"/>
    <col min="11276" max="11276" width="7.7109375" style="6" customWidth="1"/>
    <col min="11277" max="11277" width="12.85546875" style="6" customWidth="1"/>
    <col min="11278" max="11278" width="9.28515625" style="6" customWidth="1"/>
    <col min="11279" max="11279" width="5.85546875" style="6" customWidth="1"/>
    <col min="11280" max="11280" width="4.28515625" style="6" bestFit="1" customWidth="1"/>
    <col min="11281" max="11281" width="8.42578125" style="6" bestFit="1" customWidth="1"/>
    <col min="11282" max="11282" width="12.7109375" style="6" customWidth="1"/>
    <col min="11283" max="11291" width="9.140625" style="6"/>
    <col min="11292" max="11292" width="8.140625" style="6" customWidth="1"/>
    <col min="11293" max="11520" width="9.140625" style="6"/>
    <col min="11521" max="11521" width="8.7109375" style="6" customWidth="1"/>
    <col min="11522" max="11522" width="10.5703125" style="6" customWidth="1"/>
    <col min="11523" max="11523" width="20.7109375" style="6" customWidth="1"/>
    <col min="11524" max="11524" width="8.28515625" style="6" customWidth="1"/>
    <col min="11525" max="11526" width="20.7109375" style="6" customWidth="1"/>
    <col min="11527" max="11530" width="7.7109375" style="6" customWidth="1"/>
    <col min="11531" max="11531" width="8.7109375" style="6" customWidth="1"/>
    <col min="11532" max="11532" width="7.7109375" style="6" customWidth="1"/>
    <col min="11533" max="11533" width="12.85546875" style="6" customWidth="1"/>
    <col min="11534" max="11534" width="9.28515625" style="6" customWidth="1"/>
    <col min="11535" max="11535" width="5.85546875" style="6" customWidth="1"/>
    <col min="11536" max="11536" width="4.28515625" style="6" bestFit="1" customWidth="1"/>
    <col min="11537" max="11537" width="8.42578125" style="6" bestFit="1" customWidth="1"/>
    <col min="11538" max="11538" width="12.7109375" style="6" customWidth="1"/>
    <col min="11539" max="11547" width="9.140625" style="6"/>
    <col min="11548" max="11548" width="8.140625" style="6" customWidth="1"/>
    <col min="11549" max="11776" width="9.140625" style="6"/>
    <col min="11777" max="11777" width="8.7109375" style="6" customWidth="1"/>
    <col min="11778" max="11778" width="10.5703125" style="6" customWidth="1"/>
    <col min="11779" max="11779" width="20.7109375" style="6" customWidth="1"/>
    <col min="11780" max="11780" width="8.28515625" style="6" customWidth="1"/>
    <col min="11781" max="11782" width="20.7109375" style="6" customWidth="1"/>
    <col min="11783" max="11786" width="7.7109375" style="6" customWidth="1"/>
    <col min="11787" max="11787" width="8.7109375" style="6" customWidth="1"/>
    <col min="11788" max="11788" width="7.7109375" style="6" customWidth="1"/>
    <col min="11789" max="11789" width="12.85546875" style="6" customWidth="1"/>
    <col min="11790" max="11790" width="9.28515625" style="6" customWidth="1"/>
    <col min="11791" max="11791" width="5.85546875" style="6" customWidth="1"/>
    <col min="11792" max="11792" width="4.28515625" style="6" bestFit="1" customWidth="1"/>
    <col min="11793" max="11793" width="8.42578125" style="6" bestFit="1" customWidth="1"/>
    <col min="11794" max="11794" width="12.7109375" style="6" customWidth="1"/>
    <col min="11795" max="11803" width="9.140625" style="6"/>
    <col min="11804" max="11804" width="8.140625" style="6" customWidth="1"/>
    <col min="11805" max="12032" width="9.140625" style="6"/>
    <col min="12033" max="12033" width="8.7109375" style="6" customWidth="1"/>
    <col min="12034" max="12034" width="10.5703125" style="6" customWidth="1"/>
    <col min="12035" max="12035" width="20.7109375" style="6" customWidth="1"/>
    <col min="12036" max="12036" width="8.28515625" style="6" customWidth="1"/>
    <col min="12037" max="12038" width="20.7109375" style="6" customWidth="1"/>
    <col min="12039" max="12042" width="7.7109375" style="6" customWidth="1"/>
    <col min="12043" max="12043" width="8.7109375" style="6" customWidth="1"/>
    <col min="12044" max="12044" width="7.7109375" style="6" customWidth="1"/>
    <col min="12045" max="12045" width="12.85546875" style="6" customWidth="1"/>
    <col min="12046" max="12046" width="9.28515625" style="6" customWidth="1"/>
    <col min="12047" max="12047" width="5.85546875" style="6" customWidth="1"/>
    <col min="12048" max="12048" width="4.28515625" style="6" bestFit="1" customWidth="1"/>
    <col min="12049" max="12049" width="8.42578125" style="6" bestFit="1" customWidth="1"/>
    <col min="12050" max="12050" width="12.7109375" style="6" customWidth="1"/>
    <col min="12051" max="12059" width="9.140625" style="6"/>
    <col min="12060" max="12060" width="8.140625" style="6" customWidth="1"/>
    <col min="12061" max="12288" width="9.140625" style="6"/>
    <col min="12289" max="12289" width="8.7109375" style="6" customWidth="1"/>
    <col min="12290" max="12290" width="10.5703125" style="6" customWidth="1"/>
    <col min="12291" max="12291" width="20.7109375" style="6" customWidth="1"/>
    <col min="12292" max="12292" width="8.28515625" style="6" customWidth="1"/>
    <col min="12293" max="12294" width="20.7109375" style="6" customWidth="1"/>
    <col min="12295" max="12298" width="7.7109375" style="6" customWidth="1"/>
    <col min="12299" max="12299" width="8.7109375" style="6" customWidth="1"/>
    <col min="12300" max="12300" width="7.7109375" style="6" customWidth="1"/>
    <col min="12301" max="12301" width="12.85546875" style="6" customWidth="1"/>
    <col min="12302" max="12302" width="9.28515625" style="6" customWidth="1"/>
    <col min="12303" max="12303" width="5.85546875" style="6" customWidth="1"/>
    <col min="12304" max="12304" width="4.28515625" style="6" bestFit="1" customWidth="1"/>
    <col min="12305" max="12305" width="8.42578125" style="6" bestFit="1" customWidth="1"/>
    <col min="12306" max="12306" width="12.7109375" style="6" customWidth="1"/>
    <col min="12307" max="12315" width="9.140625" style="6"/>
    <col min="12316" max="12316" width="8.140625" style="6" customWidth="1"/>
    <col min="12317" max="12544" width="9.140625" style="6"/>
    <col min="12545" max="12545" width="8.7109375" style="6" customWidth="1"/>
    <col min="12546" max="12546" width="10.5703125" style="6" customWidth="1"/>
    <col min="12547" max="12547" width="20.7109375" style="6" customWidth="1"/>
    <col min="12548" max="12548" width="8.28515625" style="6" customWidth="1"/>
    <col min="12549" max="12550" width="20.7109375" style="6" customWidth="1"/>
    <col min="12551" max="12554" width="7.7109375" style="6" customWidth="1"/>
    <col min="12555" max="12555" width="8.7109375" style="6" customWidth="1"/>
    <col min="12556" max="12556" width="7.7109375" style="6" customWidth="1"/>
    <col min="12557" max="12557" width="12.85546875" style="6" customWidth="1"/>
    <col min="12558" max="12558" width="9.28515625" style="6" customWidth="1"/>
    <col min="12559" max="12559" width="5.85546875" style="6" customWidth="1"/>
    <col min="12560" max="12560" width="4.28515625" style="6" bestFit="1" customWidth="1"/>
    <col min="12561" max="12561" width="8.42578125" style="6" bestFit="1" customWidth="1"/>
    <col min="12562" max="12562" width="12.7109375" style="6" customWidth="1"/>
    <col min="12563" max="12571" width="9.140625" style="6"/>
    <col min="12572" max="12572" width="8.140625" style="6" customWidth="1"/>
    <col min="12573" max="12800" width="9.140625" style="6"/>
    <col min="12801" max="12801" width="8.7109375" style="6" customWidth="1"/>
    <col min="12802" max="12802" width="10.5703125" style="6" customWidth="1"/>
    <col min="12803" max="12803" width="20.7109375" style="6" customWidth="1"/>
    <col min="12804" max="12804" width="8.28515625" style="6" customWidth="1"/>
    <col min="12805" max="12806" width="20.7109375" style="6" customWidth="1"/>
    <col min="12807" max="12810" width="7.7109375" style="6" customWidth="1"/>
    <col min="12811" max="12811" width="8.7109375" style="6" customWidth="1"/>
    <col min="12812" max="12812" width="7.7109375" style="6" customWidth="1"/>
    <col min="12813" max="12813" width="12.85546875" style="6" customWidth="1"/>
    <col min="12814" max="12814" width="9.28515625" style="6" customWidth="1"/>
    <col min="12815" max="12815" width="5.85546875" style="6" customWidth="1"/>
    <col min="12816" max="12816" width="4.28515625" style="6" bestFit="1" customWidth="1"/>
    <col min="12817" max="12817" width="8.42578125" style="6" bestFit="1" customWidth="1"/>
    <col min="12818" max="12818" width="12.7109375" style="6" customWidth="1"/>
    <col min="12819" max="12827" width="9.140625" style="6"/>
    <col min="12828" max="12828" width="8.140625" style="6" customWidth="1"/>
    <col min="12829" max="13056" width="9.140625" style="6"/>
    <col min="13057" max="13057" width="8.7109375" style="6" customWidth="1"/>
    <col min="13058" max="13058" width="10.5703125" style="6" customWidth="1"/>
    <col min="13059" max="13059" width="20.7109375" style="6" customWidth="1"/>
    <col min="13060" max="13060" width="8.28515625" style="6" customWidth="1"/>
    <col min="13061" max="13062" width="20.7109375" style="6" customWidth="1"/>
    <col min="13063" max="13066" width="7.7109375" style="6" customWidth="1"/>
    <col min="13067" max="13067" width="8.7109375" style="6" customWidth="1"/>
    <col min="13068" max="13068" width="7.7109375" style="6" customWidth="1"/>
    <col min="13069" max="13069" width="12.85546875" style="6" customWidth="1"/>
    <col min="13070" max="13070" width="9.28515625" style="6" customWidth="1"/>
    <col min="13071" max="13071" width="5.85546875" style="6" customWidth="1"/>
    <col min="13072" max="13072" width="4.28515625" style="6" bestFit="1" customWidth="1"/>
    <col min="13073" max="13073" width="8.42578125" style="6" bestFit="1" customWidth="1"/>
    <col min="13074" max="13074" width="12.7109375" style="6" customWidth="1"/>
    <col min="13075" max="13083" width="9.140625" style="6"/>
    <col min="13084" max="13084" width="8.140625" style="6" customWidth="1"/>
    <col min="13085" max="13312" width="9.140625" style="6"/>
    <col min="13313" max="13313" width="8.7109375" style="6" customWidth="1"/>
    <col min="13314" max="13314" width="10.5703125" style="6" customWidth="1"/>
    <col min="13315" max="13315" width="20.7109375" style="6" customWidth="1"/>
    <col min="13316" max="13316" width="8.28515625" style="6" customWidth="1"/>
    <col min="13317" max="13318" width="20.7109375" style="6" customWidth="1"/>
    <col min="13319" max="13322" width="7.7109375" style="6" customWidth="1"/>
    <col min="13323" max="13323" width="8.7109375" style="6" customWidth="1"/>
    <col min="13324" max="13324" width="7.7109375" style="6" customWidth="1"/>
    <col min="13325" max="13325" width="12.85546875" style="6" customWidth="1"/>
    <col min="13326" max="13326" width="9.28515625" style="6" customWidth="1"/>
    <col min="13327" max="13327" width="5.85546875" style="6" customWidth="1"/>
    <col min="13328" max="13328" width="4.28515625" style="6" bestFit="1" customWidth="1"/>
    <col min="13329" max="13329" width="8.42578125" style="6" bestFit="1" customWidth="1"/>
    <col min="13330" max="13330" width="12.7109375" style="6" customWidth="1"/>
    <col min="13331" max="13339" width="9.140625" style="6"/>
    <col min="13340" max="13340" width="8.140625" style="6" customWidth="1"/>
    <col min="13341" max="13568" width="9.140625" style="6"/>
    <col min="13569" max="13569" width="8.7109375" style="6" customWidth="1"/>
    <col min="13570" max="13570" width="10.5703125" style="6" customWidth="1"/>
    <col min="13571" max="13571" width="20.7109375" style="6" customWidth="1"/>
    <col min="13572" max="13572" width="8.28515625" style="6" customWidth="1"/>
    <col min="13573" max="13574" width="20.7109375" style="6" customWidth="1"/>
    <col min="13575" max="13578" width="7.7109375" style="6" customWidth="1"/>
    <col min="13579" max="13579" width="8.7109375" style="6" customWidth="1"/>
    <col min="13580" max="13580" width="7.7109375" style="6" customWidth="1"/>
    <col min="13581" max="13581" width="12.85546875" style="6" customWidth="1"/>
    <col min="13582" max="13582" width="9.28515625" style="6" customWidth="1"/>
    <col min="13583" max="13583" width="5.85546875" style="6" customWidth="1"/>
    <col min="13584" max="13584" width="4.28515625" style="6" bestFit="1" customWidth="1"/>
    <col min="13585" max="13585" width="8.42578125" style="6" bestFit="1" customWidth="1"/>
    <col min="13586" max="13586" width="12.7109375" style="6" customWidth="1"/>
    <col min="13587" max="13595" width="9.140625" style="6"/>
    <col min="13596" max="13596" width="8.140625" style="6" customWidth="1"/>
    <col min="13597" max="13824" width="9.140625" style="6"/>
    <col min="13825" max="13825" width="8.7109375" style="6" customWidth="1"/>
    <col min="13826" max="13826" width="10.5703125" style="6" customWidth="1"/>
    <col min="13827" max="13827" width="20.7109375" style="6" customWidth="1"/>
    <col min="13828" max="13828" width="8.28515625" style="6" customWidth="1"/>
    <col min="13829" max="13830" width="20.7109375" style="6" customWidth="1"/>
    <col min="13831" max="13834" width="7.7109375" style="6" customWidth="1"/>
    <col min="13835" max="13835" width="8.7109375" style="6" customWidth="1"/>
    <col min="13836" max="13836" width="7.7109375" style="6" customWidth="1"/>
    <col min="13837" max="13837" width="12.85546875" style="6" customWidth="1"/>
    <col min="13838" max="13838" width="9.28515625" style="6" customWidth="1"/>
    <col min="13839" max="13839" width="5.85546875" style="6" customWidth="1"/>
    <col min="13840" max="13840" width="4.28515625" style="6" bestFit="1" customWidth="1"/>
    <col min="13841" max="13841" width="8.42578125" style="6" bestFit="1" customWidth="1"/>
    <col min="13842" max="13842" width="12.7109375" style="6" customWidth="1"/>
    <col min="13843" max="13851" width="9.140625" style="6"/>
    <col min="13852" max="13852" width="8.140625" style="6" customWidth="1"/>
    <col min="13853" max="14080" width="9.140625" style="6"/>
    <col min="14081" max="14081" width="8.7109375" style="6" customWidth="1"/>
    <col min="14082" max="14082" width="10.5703125" style="6" customWidth="1"/>
    <col min="14083" max="14083" width="20.7109375" style="6" customWidth="1"/>
    <col min="14084" max="14084" width="8.28515625" style="6" customWidth="1"/>
    <col min="14085" max="14086" width="20.7109375" style="6" customWidth="1"/>
    <col min="14087" max="14090" width="7.7109375" style="6" customWidth="1"/>
    <col min="14091" max="14091" width="8.7109375" style="6" customWidth="1"/>
    <col min="14092" max="14092" width="7.7109375" style="6" customWidth="1"/>
    <col min="14093" max="14093" width="12.85546875" style="6" customWidth="1"/>
    <col min="14094" max="14094" width="9.28515625" style="6" customWidth="1"/>
    <col min="14095" max="14095" width="5.85546875" style="6" customWidth="1"/>
    <col min="14096" max="14096" width="4.28515625" style="6" bestFit="1" customWidth="1"/>
    <col min="14097" max="14097" width="8.42578125" style="6" bestFit="1" customWidth="1"/>
    <col min="14098" max="14098" width="12.7109375" style="6" customWidth="1"/>
    <col min="14099" max="14107" width="9.140625" style="6"/>
    <col min="14108" max="14108" width="8.140625" style="6" customWidth="1"/>
    <col min="14109" max="14336" width="9.140625" style="6"/>
    <col min="14337" max="14337" width="8.7109375" style="6" customWidth="1"/>
    <col min="14338" max="14338" width="10.5703125" style="6" customWidth="1"/>
    <col min="14339" max="14339" width="20.7109375" style="6" customWidth="1"/>
    <col min="14340" max="14340" width="8.28515625" style="6" customWidth="1"/>
    <col min="14341" max="14342" width="20.7109375" style="6" customWidth="1"/>
    <col min="14343" max="14346" width="7.7109375" style="6" customWidth="1"/>
    <col min="14347" max="14347" width="8.7109375" style="6" customWidth="1"/>
    <col min="14348" max="14348" width="7.7109375" style="6" customWidth="1"/>
    <col min="14349" max="14349" width="12.85546875" style="6" customWidth="1"/>
    <col min="14350" max="14350" width="9.28515625" style="6" customWidth="1"/>
    <col min="14351" max="14351" width="5.85546875" style="6" customWidth="1"/>
    <col min="14352" max="14352" width="4.28515625" style="6" bestFit="1" customWidth="1"/>
    <col min="14353" max="14353" width="8.42578125" style="6" bestFit="1" customWidth="1"/>
    <col min="14354" max="14354" width="12.7109375" style="6" customWidth="1"/>
    <col min="14355" max="14363" width="9.140625" style="6"/>
    <col min="14364" max="14364" width="8.140625" style="6" customWidth="1"/>
    <col min="14365" max="14592" width="9.140625" style="6"/>
    <col min="14593" max="14593" width="8.7109375" style="6" customWidth="1"/>
    <col min="14594" max="14594" width="10.5703125" style="6" customWidth="1"/>
    <col min="14595" max="14595" width="20.7109375" style="6" customWidth="1"/>
    <col min="14596" max="14596" width="8.28515625" style="6" customWidth="1"/>
    <col min="14597" max="14598" width="20.7109375" style="6" customWidth="1"/>
    <col min="14599" max="14602" width="7.7109375" style="6" customWidth="1"/>
    <col min="14603" max="14603" width="8.7109375" style="6" customWidth="1"/>
    <col min="14604" max="14604" width="7.7109375" style="6" customWidth="1"/>
    <col min="14605" max="14605" width="12.85546875" style="6" customWidth="1"/>
    <col min="14606" max="14606" width="9.28515625" style="6" customWidth="1"/>
    <col min="14607" max="14607" width="5.85546875" style="6" customWidth="1"/>
    <col min="14608" max="14608" width="4.28515625" style="6" bestFit="1" customWidth="1"/>
    <col min="14609" max="14609" width="8.42578125" style="6" bestFit="1" customWidth="1"/>
    <col min="14610" max="14610" width="12.7109375" style="6" customWidth="1"/>
    <col min="14611" max="14619" width="9.140625" style="6"/>
    <col min="14620" max="14620" width="8.140625" style="6" customWidth="1"/>
    <col min="14621" max="14848" width="9.140625" style="6"/>
    <col min="14849" max="14849" width="8.7109375" style="6" customWidth="1"/>
    <col min="14850" max="14850" width="10.5703125" style="6" customWidth="1"/>
    <col min="14851" max="14851" width="20.7109375" style="6" customWidth="1"/>
    <col min="14852" max="14852" width="8.28515625" style="6" customWidth="1"/>
    <col min="14853" max="14854" width="20.7109375" style="6" customWidth="1"/>
    <col min="14855" max="14858" width="7.7109375" style="6" customWidth="1"/>
    <col min="14859" max="14859" width="8.7109375" style="6" customWidth="1"/>
    <col min="14860" max="14860" width="7.7109375" style="6" customWidth="1"/>
    <col min="14861" max="14861" width="12.85546875" style="6" customWidth="1"/>
    <col min="14862" max="14862" width="9.28515625" style="6" customWidth="1"/>
    <col min="14863" max="14863" width="5.85546875" style="6" customWidth="1"/>
    <col min="14864" max="14864" width="4.28515625" style="6" bestFit="1" customWidth="1"/>
    <col min="14865" max="14865" width="8.42578125" style="6" bestFit="1" customWidth="1"/>
    <col min="14866" max="14866" width="12.7109375" style="6" customWidth="1"/>
    <col min="14867" max="14875" width="9.140625" style="6"/>
    <col min="14876" max="14876" width="8.140625" style="6" customWidth="1"/>
    <col min="14877" max="15104" width="9.140625" style="6"/>
    <col min="15105" max="15105" width="8.7109375" style="6" customWidth="1"/>
    <col min="15106" max="15106" width="10.5703125" style="6" customWidth="1"/>
    <col min="15107" max="15107" width="20.7109375" style="6" customWidth="1"/>
    <col min="15108" max="15108" width="8.28515625" style="6" customWidth="1"/>
    <col min="15109" max="15110" width="20.7109375" style="6" customWidth="1"/>
    <col min="15111" max="15114" width="7.7109375" style="6" customWidth="1"/>
    <col min="15115" max="15115" width="8.7109375" style="6" customWidth="1"/>
    <col min="15116" max="15116" width="7.7109375" style="6" customWidth="1"/>
    <col min="15117" max="15117" width="12.85546875" style="6" customWidth="1"/>
    <col min="15118" max="15118" width="9.28515625" style="6" customWidth="1"/>
    <col min="15119" max="15119" width="5.85546875" style="6" customWidth="1"/>
    <col min="15120" max="15120" width="4.28515625" style="6" bestFit="1" customWidth="1"/>
    <col min="15121" max="15121" width="8.42578125" style="6" bestFit="1" customWidth="1"/>
    <col min="15122" max="15122" width="12.7109375" style="6" customWidth="1"/>
    <col min="15123" max="15131" width="9.140625" style="6"/>
    <col min="15132" max="15132" width="8.140625" style="6" customWidth="1"/>
    <col min="15133" max="15360" width="9.140625" style="6"/>
    <col min="15361" max="15361" width="8.7109375" style="6" customWidth="1"/>
    <col min="15362" max="15362" width="10.5703125" style="6" customWidth="1"/>
    <col min="15363" max="15363" width="20.7109375" style="6" customWidth="1"/>
    <col min="15364" max="15364" width="8.28515625" style="6" customWidth="1"/>
    <col min="15365" max="15366" width="20.7109375" style="6" customWidth="1"/>
    <col min="15367" max="15370" width="7.7109375" style="6" customWidth="1"/>
    <col min="15371" max="15371" width="8.7109375" style="6" customWidth="1"/>
    <col min="15372" max="15372" width="7.7109375" style="6" customWidth="1"/>
    <col min="15373" max="15373" width="12.85546875" style="6" customWidth="1"/>
    <col min="15374" max="15374" width="9.28515625" style="6" customWidth="1"/>
    <col min="15375" max="15375" width="5.85546875" style="6" customWidth="1"/>
    <col min="15376" max="15376" width="4.28515625" style="6" bestFit="1" customWidth="1"/>
    <col min="15377" max="15377" width="8.42578125" style="6" bestFit="1" customWidth="1"/>
    <col min="15378" max="15378" width="12.7109375" style="6" customWidth="1"/>
    <col min="15379" max="15387" width="9.140625" style="6"/>
    <col min="15388" max="15388" width="8.140625" style="6" customWidth="1"/>
    <col min="15389" max="15616" width="9.140625" style="6"/>
    <col min="15617" max="15617" width="8.7109375" style="6" customWidth="1"/>
    <col min="15618" max="15618" width="10.5703125" style="6" customWidth="1"/>
    <col min="15619" max="15619" width="20.7109375" style="6" customWidth="1"/>
    <col min="15620" max="15620" width="8.28515625" style="6" customWidth="1"/>
    <col min="15621" max="15622" width="20.7109375" style="6" customWidth="1"/>
    <col min="15623" max="15626" width="7.7109375" style="6" customWidth="1"/>
    <col min="15627" max="15627" width="8.7109375" style="6" customWidth="1"/>
    <col min="15628" max="15628" width="7.7109375" style="6" customWidth="1"/>
    <col min="15629" max="15629" width="12.85546875" style="6" customWidth="1"/>
    <col min="15630" max="15630" width="9.28515625" style="6" customWidth="1"/>
    <col min="15631" max="15631" width="5.85546875" style="6" customWidth="1"/>
    <col min="15632" max="15632" width="4.28515625" style="6" bestFit="1" customWidth="1"/>
    <col min="15633" max="15633" width="8.42578125" style="6" bestFit="1" customWidth="1"/>
    <col min="15634" max="15634" width="12.7109375" style="6" customWidth="1"/>
    <col min="15635" max="15643" width="9.140625" style="6"/>
    <col min="15644" max="15644" width="8.140625" style="6" customWidth="1"/>
    <col min="15645" max="15872" width="9.140625" style="6"/>
    <col min="15873" max="15873" width="8.7109375" style="6" customWidth="1"/>
    <col min="15874" max="15874" width="10.5703125" style="6" customWidth="1"/>
    <col min="15875" max="15875" width="20.7109375" style="6" customWidth="1"/>
    <col min="15876" max="15876" width="8.28515625" style="6" customWidth="1"/>
    <col min="15877" max="15878" width="20.7109375" style="6" customWidth="1"/>
    <col min="15879" max="15882" width="7.7109375" style="6" customWidth="1"/>
    <col min="15883" max="15883" width="8.7109375" style="6" customWidth="1"/>
    <col min="15884" max="15884" width="7.7109375" style="6" customWidth="1"/>
    <col min="15885" max="15885" width="12.85546875" style="6" customWidth="1"/>
    <col min="15886" max="15886" width="9.28515625" style="6" customWidth="1"/>
    <col min="15887" max="15887" width="5.85546875" style="6" customWidth="1"/>
    <col min="15888" max="15888" width="4.28515625" style="6" bestFit="1" customWidth="1"/>
    <col min="15889" max="15889" width="8.42578125" style="6" bestFit="1" customWidth="1"/>
    <col min="15890" max="15890" width="12.7109375" style="6" customWidth="1"/>
    <col min="15891" max="15899" width="9.140625" style="6"/>
    <col min="15900" max="15900" width="8.140625" style="6" customWidth="1"/>
    <col min="15901" max="16128" width="9.140625" style="6"/>
    <col min="16129" max="16129" width="8.7109375" style="6" customWidth="1"/>
    <col min="16130" max="16130" width="10.5703125" style="6" customWidth="1"/>
    <col min="16131" max="16131" width="20.7109375" style="6" customWidth="1"/>
    <col min="16132" max="16132" width="8.28515625" style="6" customWidth="1"/>
    <col min="16133" max="16134" width="20.7109375" style="6" customWidth="1"/>
    <col min="16135" max="16138" width="7.7109375" style="6" customWidth="1"/>
    <col min="16139" max="16139" width="8.7109375" style="6" customWidth="1"/>
    <col min="16140" max="16140" width="7.7109375" style="6" customWidth="1"/>
    <col min="16141" max="16141" width="12.85546875" style="6" customWidth="1"/>
    <col min="16142" max="16142" width="9.28515625" style="6" customWidth="1"/>
    <col min="16143" max="16143" width="5.85546875" style="6" customWidth="1"/>
    <col min="16144" max="16144" width="4.28515625" style="6" bestFit="1" customWidth="1"/>
    <col min="16145" max="16145" width="8.42578125" style="6" bestFit="1" customWidth="1"/>
    <col min="16146" max="16146" width="12.7109375" style="6" customWidth="1"/>
    <col min="16147" max="16155" width="9.140625" style="6"/>
    <col min="16156" max="16156" width="8.140625" style="6" customWidth="1"/>
    <col min="16157" max="16384" width="9.140625" style="6"/>
  </cols>
  <sheetData>
    <row r="1" spans="1:36" x14ac:dyDescent="0.2">
      <c r="A1" s="390" t="s">
        <v>631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418"/>
    </row>
    <row r="2" spans="1:36" ht="5.0999999999999996" customHeight="1" thickBot="1" x14ac:dyDescent="0.25">
      <c r="A2" s="41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418"/>
    </row>
    <row r="3" spans="1:36" s="2" customFormat="1" ht="50.25" customHeight="1" thickTop="1" thickBot="1" x14ac:dyDescent="0.3">
      <c r="A3" s="135" t="s">
        <v>123</v>
      </c>
      <c r="B3" s="420" t="s">
        <v>37</v>
      </c>
      <c r="C3" s="421" t="s">
        <v>82</v>
      </c>
      <c r="D3" s="421" t="s">
        <v>41</v>
      </c>
      <c r="E3" s="421" t="s">
        <v>39</v>
      </c>
      <c r="F3" s="421" t="s">
        <v>40</v>
      </c>
      <c r="G3" s="422" t="s">
        <v>124</v>
      </c>
      <c r="H3" s="421" t="s">
        <v>125</v>
      </c>
      <c r="I3" s="421" t="s">
        <v>44</v>
      </c>
      <c r="J3" s="421" t="s">
        <v>126</v>
      </c>
      <c r="K3" s="421" t="s">
        <v>127</v>
      </c>
      <c r="L3" s="421" t="s">
        <v>128</v>
      </c>
      <c r="M3" s="421" t="s">
        <v>129</v>
      </c>
      <c r="N3" s="395" t="s">
        <v>46</v>
      </c>
      <c r="O3" s="423" t="s">
        <v>130</v>
      </c>
      <c r="Q3" s="424"/>
      <c r="R3" s="424"/>
      <c r="S3" s="424"/>
      <c r="T3" s="424"/>
      <c r="U3" s="424"/>
      <c r="V3" s="424"/>
      <c r="W3" s="424"/>
      <c r="X3" s="424"/>
      <c r="Y3" s="424"/>
      <c r="Z3" s="425"/>
      <c r="AA3" s="424"/>
      <c r="AB3" s="424"/>
      <c r="AC3" s="424"/>
      <c r="AD3" s="424"/>
      <c r="AE3" s="424"/>
      <c r="AF3" s="424"/>
      <c r="AG3" s="424"/>
      <c r="AH3" s="424"/>
      <c r="AI3" s="424"/>
      <c r="AJ3" s="424"/>
    </row>
    <row r="4" spans="1:36" ht="14.25" thickTop="1" thickBot="1" x14ac:dyDescent="0.25">
      <c r="A4" s="280" t="s">
        <v>25</v>
      </c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426"/>
      <c r="O4" s="427"/>
      <c r="Q4" s="392" t="s">
        <v>131</v>
      </c>
    </row>
    <row r="5" spans="1:36" x14ac:dyDescent="0.2">
      <c r="A5" s="253" t="s">
        <v>132</v>
      </c>
      <c r="B5" s="428">
        <v>103727</v>
      </c>
      <c r="C5" s="314">
        <v>48872</v>
      </c>
      <c r="D5" s="314" t="s">
        <v>21</v>
      </c>
      <c r="E5" s="429">
        <v>2.1224218366344738</v>
      </c>
      <c r="F5" s="314">
        <v>82045</v>
      </c>
      <c r="G5" s="323">
        <v>0.79097052840629734</v>
      </c>
      <c r="H5" s="314">
        <v>35964</v>
      </c>
      <c r="I5" s="314">
        <v>25725</v>
      </c>
      <c r="J5" s="429">
        <v>1.3980174927113702</v>
      </c>
      <c r="K5" s="314">
        <v>25672</v>
      </c>
      <c r="L5" s="314">
        <v>24184</v>
      </c>
      <c r="M5" s="429">
        <v>1.0615282831624215</v>
      </c>
      <c r="N5" s="430">
        <v>0.526375020461614</v>
      </c>
      <c r="O5" s="431" t="s">
        <v>67</v>
      </c>
      <c r="S5" s="392" t="s">
        <v>59</v>
      </c>
      <c r="T5" s="392" t="s">
        <v>60</v>
      </c>
      <c r="U5" s="392" t="s">
        <v>61</v>
      </c>
      <c r="V5" s="392" t="s">
        <v>57</v>
      </c>
    </row>
    <row r="6" spans="1:36" ht="13.5" thickBot="1" x14ac:dyDescent="0.25">
      <c r="A6" s="432" t="s">
        <v>133</v>
      </c>
      <c r="B6" s="433">
        <v>130064</v>
      </c>
      <c r="C6" s="434">
        <v>56549</v>
      </c>
      <c r="D6" s="434" t="s">
        <v>21</v>
      </c>
      <c r="E6" s="435">
        <v>2.300022988912271</v>
      </c>
      <c r="F6" s="434">
        <v>103573</v>
      </c>
      <c r="G6" s="436">
        <v>0.79632334850535125</v>
      </c>
      <c r="H6" s="434">
        <v>30370</v>
      </c>
      <c r="I6" s="434">
        <v>21678</v>
      </c>
      <c r="J6" s="435">
        <v>1.4009594981086817</v>
      </c>
      <c r="K6" s="434">
        <v>21751</v>
      </c>
      <c r="L6" s="434">
        <v>20368</v>
      </c>
      <c r="M6" s="435">
        <v>1.0679006284367636</v>
      </c>
      <c r="N6" s="437">
        <v>0.3833489540044917</v>
      </c>
      <c r="O6" s="438" t="s">
        <v>67</v>
      </c>
      <c r="Q6" s="392" t="s">
        <v>62</v>
      </c>
      <c r="R6" s="392" t="s">
        <v>54</v>
      </c>
      <c r="S6" s="392">
        <v>7</v>
      </c>
      <c r="T6" s="392">
        <v>5.4009845223214979E-3</v>
      </c>
      <c r="U6" s="392">
        <v>5.4009845223214979E-3</v>
      </c>
      <c r="V6" s="392">
        <v>5.4009845223214979E-3</v>
      </c>
    </row>
    <row r="7" spans="1:36" ht="13.5" thickBot="1" x14ac:dyDescent="0.25">
      <c r="A7" s="439" t="s">
        <v>5</v>
      </c>
      <c r="B7" s="281"/>
      <c r="C7" s="281"/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426"/>
      <c r="O7" s="427"/>
      <c r="R7" s="392" t="s">
        <v>134</v>
      </c>
      <c r="S7" s="392">
        <v>59570</v>
      </c>
      <c r="T7" s="392">
        <v>45.962378284955946</v>
      </c>
      <c r="U7" s="392">
        <v>45.962378284955946</v>
      </c>
      <c r="V7" s="392">
        <v>45.967779269478271</v>
      </c>
    </row>
    <row r="8" spans="1:36" x14ac:dyDescent="0.2">
      <c r="A8" s="253" t="s">
        <v>132</v>
      </c>
      <c r="B8" s="428">
        <v>89960</v>
      </c>
      <c r="C8" s="314">
        <v>47350</v>
      </c>
      <c r="D8" s="314">
        <v>41285</v>
      </c>
      <c r="E8" s="429">
        <v>1.8998944033790919</v>
      </c>
      <c r="F8" s="314">
        <v>70782</v>
      </c>
      <c r="G8" s="323">
        <v>0.78681636282792355</v>
      </c>
      <c r="H8" s="314">
        <v>31891</v>
      </c>
      <c r="I8" s="314">
        <v>24109</v>
      </c>
      <c r="J8" s="429">
        <v>1.3227840225641876</v>
      </c>
      <c r="K8" s="314">
        <v>25085</v>
      </c>
      <c r="L8" s="314">
        <v>23332</v>
      </c>
      <c r="M8" s="429">
        <v>1.0751328647351277</v>
      </c>
      <c r="N8" s="430">
        <v>0.50916578669482582</v>
      </c>
      <c r="O8" s="440">
        <f>I8/D8</f>
        <v>0.58396512050381499</v>
      </c>
      <c r="R8" s="392" t="s">
        <v>135</v>
      </c>
      <c r="S8" s="392">
        <v>70029</v>
      </c>
      <c r="T8" s="392">
        <v>54.032220730521736</v>
      </c>
      <c r="U8" s="392">
        <v>54.032220730521736</v>
      </c>
      <c r="V8" s="392">
        <v>100</v>
      </c>
    </row>
    <row r="9" spans="1:36" ht="13.5" thickBot="1" x14ac:dyDescent="0.25">
      <c r="A9" s="432" t="s">
        <v>133</v>
      </c>
      <c r="B9" s="433">
        <v>118140</v>
      </c>
      <c r="C9" s="434">
        <v>56067</v>
      </c>
      <c r="D9" s="434">
        <v>49457</v>
      </c>
      <c r="E9" s="435">
        <v>2.107121836374338</v>
      </c>
      <c r="F9" s="434">
        <v>94762</v>
      </c>
      <c r="G9" s="436">
        <v>0.80211613340104959</v>
      </c>
      <c r="H9" s="434">
        <v>29134</v>
      </c>
      <c r="I9" s="434">
        <v>21081</v>
      </c>
      <c r="J9" s="435">
        <v>1.3820027512926332</v>
      </c>
      <c r="K9" s="434">
        <v>21989</v>
      </c>
      <c r="L9" s="434">
        <v>20364</v>
      </c>
      <c r="M9" s="435">
        <v>1.0797976821842468</v>
      </c>
      <c r="N9" s="437">
        <v>0.37599657552571031</v>
      </c>
      <c r="O9" s="441">
        <f>I9/D9</f>
        <v>0.4262490648442081</v>
      </c>
      <c r="Q9" s="392" t="s">
        <v>131</v>
      </c>
    </row>
    <row r="10" spans="1:36" ht="13.5" thickBot="1" x14ac:dyDescent="0.25">
      <c r="A10" s="280" t="s">
        <v>6</v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426"/>
      <c r="O10" s="427"/>
      <c r="S10" s="392" t="s">
        <v>59</v>
      </c>
      <c r="T10" s="392" t="s">
        <v>60</v>
      </c>
      <c r="U10" s="392" t="s">
        <v>61</v>
      </c>
      <c r="V10" s="392" t="s">
        <v>57</v>
      </c>
    </row>
    <row r="11" spans="1:36" x14ac:dyDescent="0.2">
      <c r="A11" s="253" t="s">
        <v>132</v>
      </c>
      <c r="B11" s="428">
        <v>103996</v>
      </c>
      <c r="C11" s="314">
        <v>48267</v>
      </c>
      <c r="D11" s="314">
        <v>43138</v>
      </c>
      <c r="E11" s="429">
        <v>2.1545983798454431</v>
      </c>
      <c r="F11" s="314">
        <v>82975</v>
      </c>
      <c r="G11" s="323">
        <v>0.79786722566252544</v>
      </c>
      <c r="H11" s="314">
        <v>40986</v>
      </c>
      <c r="I11" s="314">
        <v>29092</v>
      </c>
      <c r="J11" s="429">
        <v>1.4088409184655575</v>
      </c>
      <c r="K11" s="314">
        <v>30064</v>
      </c>
      <c r="L11" s="314">
        <v>27842</v>
      </c>
      <c r="M11" s="429">
        <v>1.0798074850944617</v>
      </c>
      <c r="N11" s="430">
        <v>0.60273064412538591</v>
      </c>
      <c r="O11" s="440">
        <f>I11/D11</f>
        <v>0.6743938059251704</v>
      </c>
      <c r="Q11" s="392" t="s">
        <v>62</v>
      </c>
      <c r="R11" s="392" t="s">
        <v>54</v>
      </c>
      <c r="S11" s="392">
        <v>2</v>
      </c>
      <c r="T11" s="392">
        <v>2.2207910457705034E-3</v>
      </c>
      <c r="U11" s="392">
        <v>2.2207910457705034E-3</v>
      </c>
      <c r="V11" s="392">
        <v>2.2207910457705034E-3</v>
      </c>
    </row>
    <row r="12" spans="1:36" ht="13.5" thickBot="1" x14ac:dyDescent="0.25">
      <c r="A12" s="432" t="s">
        <v>133</v>
      </c>
      <c r="B12" s="433">
        <v>133394</v>
      </c>
      <c r="C12" s="434">
        <v>56715</v>
      </c>
      <c r="D12" s="434">
        <v>51213</v>
      </c>
      <c r="E12" s="435">
        <v>2.3520056422463194</v>
      </c>
      <c r="F12" s="434">
        <v>109592</v>
      </c>
      <c r="G12" s="436">
        <v>0.82156618738473997</v>
      </c>
      <c r="H12" s="434">
        <v>37328</v>
      </c>
      <c r="I12" s="434">
        <v>25578</v>
      </c>
      <c r="J12" s="435">
        <v>1.4593791539604348</v>
      </c>
      <c r="K12" s="434">
        <v>27023</v>
      </c>
      <c r="L12" s="434">
        <v>24680</v>
      </c>
      <c r="M12" s="435">
        <v>1.0949351701782819</v>
      </c>
      <c r="N12" s="437">
        <v>0.45099180111081727</v>
      </c>
      <c r="O12" s="441">
        <f>I12/D12</f>
        <v>0.49944350067365706</v>
      </c>
    </row>
    <row r="13" spans="1:36" ht="13.5" thickBot="1" x14ac:dyDescent="0.25">
      <c r="A13" s="280" t="s">
        <v>7</v>
      </c>
      <c r="B13" s="281"/>
      <c r="C13" s="281"/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426"/>
      <c r="O13" s="427"/>
    </row>
    <row r="14" spans="1:36" x14ac:dyDescent="0.2">
      <c r="A14" s="253" t="s">
        <v>132</v>
      </c>
      <c r="B14" s="428">
        <v>102894</v>
      </c>
      <c r="C14" s="314">
        <v>50721</v>
      </c>
      <c r="D14" s="314">
        <v>45627</v>
      </c>
      <c r="E14" s="429">
        <v>2.0286271958360445</v>
      </c>
      <c r="F14" s="314">
        <v>83932</v>
      </c>
      <c r="G14" s="323">
        <v>0.81571325830466301</v>
      </c>
      <c r="H14" s="314">
        <v>46210</v>
      </c>
      <c r="I14" s="314">
        <v>32049</v>
      </c>
      <c r="J14" s="429">
        <v>1.4418546600517956</v>
      </c>
      <c r="K14" s="314">
        <v>33200</v>
      </c>
      <c r="L14" s="314">
        <v>30479</v>
      </c>
      <c r="M14" s="429">
        <v>1.0892745824994259</v>
      </c>
      <c r="N14" s="430">
        <v>0.6318684568521914</v>
      </c>
      <c r="O14" s="440">
        <f>I14/D14</f>
        <v>0.70241304490762047</v>
      </c>
    </row>
    <row r="15" spans="1:36" ht="13.5" thickBot="1" x14ac:dyDescent="0.25">
      <c r="A15" s="432" t="s">
        <v>133</v>
      </c>
      <c r="B15" s="433">
        <v>131122</v>
      </c>
      <c r="C15" s="434">
        <v>58123</v>
      </c>
      <c r="D15" s="434">
        <v>52706</v>
      </c>
      <c r="E15" s="435">
        <v>2.2559399893329664</v>
      </c>
      <c r="F15" s="434">
        <v>107872</v>
      </c>
      <c r="G15" s="436">
        <v>0.8226842177514071</v>
      </c>
      <c r="H15" s="434">
        <v>42061</v>
      </c>
      <c r="I15" s="434">
        <v>29024</v>
      </c>
      <c r="J15" s="435">
        <v>1.4491799889746417</v>
      </c>
      <c r="K15" s="434">
        <v>30911</v>
      </c>
      <c r="L15" s="434">
        <v>27863</v>
      </c>
      <c r="M15" s="435">
        <v>1.1093923841653806</v>
      </c>
      <c r="N15" s="437">
        <v>0.49935481650981539</v>
      </c>
      <c r="O15" s="441">
        <f>I15/D15</f>
        <v>0.55067734223807541</v>
      </c>
    </row>
    <row r="16" spans="1:36" ht="13.5" thickBot="1" x14ac:dyDescent="0.25">
      <c r="A16" s="442" t="s">
        <v>8</v>
      </c>
      <c r="B16" s="443"/>
      <c r="C16" s="443"/>
      <c r="D16" s="443"/>
      <c r="E16" s="443"/>
      <c r="F16" s="443"/>
      <c r="G16" s="443"/>
      <c r="H16" s="443"/>
      <c r="I16" s="443"/>
      <c r="J16" s="443"/>
      <c r="K16" s="443"/>
      <c r="L16" s="443"/>
      <c r="M16" s="443"/>
      <c r="N16" s="444"/>
      <c r="O16" s="445"/>
    </row>
    <row r="17" spans="1:16" x14ac:dyDescent="0.2">
      <c r="A17" s="253" t="s">
        <v>132</v>
      </c>
      <c r="B17" s="428">
        <v>110051</v>
      </c>
      <c r="C17" s="314">
        <v>55338</v>
      </c>
      <c r="D17" s="314">
        <v>50153</v>
      </c>
      <c r="E17" s="429">
        <f>B17/C17</f>
        <v>1.9887057718023782</v>
      </c>
      <c r="F17" s="314">
        <v>89698</v>
      </c>
      <c r="G17" s="323">
        <f>F17/B17</f>
        <v>0.81505847288984201</v>
      </c>
      <c r="H17" s="314">
        <v>51026</v>
      </c>
      <c r="I17" s="314">
        <v>36482</v>
      </c>
      <c r="J17" s="446">
        <f>H17/I17</f>
        <v>1.3986623540376075</v>
      </c>
      <c r="K17" s="447">
        <v>36829</v>
      </c>
      <c r="L17" s="314">
        <v>34826</v>
      </c>
      <c r="M17" s="446">
        <f>K17/L17</f>
        <v>1.0575145006604261</v>
      </c>
      <c r="N17" s="448">
        <v>0.65925765296902672</v>
      </c>
      <c r="O17" s="440">
        <f>I17/D17</f>
        <v>0.72741411281478674</v>
      </c>
    </row>
    <row r="18" spans="1:16" ht="13.5" thickBot="1" x14ac:dyDescent="0.25">
      <c r="A18" s="432" t="s">
        <v>133</v>
      </c>
      <c r="B18" s="433">
        <v>143211</v>
      </c>
      <c r="C18" s="434">
        <v>62206</v>
      </c>
      <c r="D18" s="434">
        <v>57016</v>
      </c>
      <c r="E18" s="435">
        <f>B18/C18</f>
        <v>2.3022055750249173</v>
      </c>
      <c r="F18" s="434">
        <v>119791</v>
      </c>
      <c r="G18" s="436">
        <f>F18/B18</f>
        <v>0.83646507600673137</v>
      </c>
      <c r="H18" s="434">
        <v>47970</v>
      </c>
      <c r="I18" s="434">
        <v>33100</v>
      </c>
      <c r="J18" s="449">
        <f>H18/I18</f>
        <v>1.4492447129909365</v>
      </c>
      <c r="K18" s="450">
        <v>33574</v>
      </c>
      <c r="L18" s="434">
        <v>31691</v>
      </c>
      <c r="M18" s="449">
        <f>K18/L18</f>
        <v>1.0594175002366601</v>
      </c>
      <c r="N18" s="451">
        <v>0.53210301257113457</v>
      </c>
      <c r="O18" s="441">
        <f>I18/D18</f>
        <v>0.58053879612740289</v>
      </c>
    </row>
    <row r="19" spans="1:16" ht="13.5" thickBot="1" x14ac:dyDescent="0.25">
      <c r="A19" s="442" t="s">
        <v>9</v>
      </c>
      <c r="B19" s="443"/>
      <c r="C19" s="443"/>
      <c r="D19" s="443"/>
      <c r="E19" s="443"/>
      <c r="F19" s="443"/>
      <c r="G19" s="443"/>
      <c r="H19" s="443"/>
      <c r="I19" s="443"/>
      <c r="J19" s="443"/>
      <c r="K19" s="443"/>
      <c r="L19" s="443"/>
      <c r="M19" s="443"/>
      <c r="N19" s="444"/>
      <c r="O19" s="445"/>
    </row>
    <row r="20" spans="1:16" x14ac:dyDescent="0.2">
      <c r="A20" s="253" t="s">
        <v>132</v>
      </c>
      <c r="B20" s="428">
        <v>118384</v>
      </c>
      <c r="C20" s="314">
        <v>58509</v>
      </c>
      <c r="D20" s="314">
        <v>53174</v>
      </c>
      <c r="E20" s="429">
        <v>2.0233468355295767</v>
      </c>
      <c r="F20" s="314">
        <v>98154</v>
      </c>
      <c r="G20" s="323">
        <v>0.82911542100283819</v>
      </c>
      <c r="H20" s="314">
        <v>53710</v>
      </c>
      <c r="I20" s="314">
        <v>38016</v>
      </c>
      <c r="J20" s="446">
        <v>1.4128261784511784</v>
      </c>
      <c r="K20" s="447">
        <v>38122</v>
      </c>
      <c r="L20" s="314">
        <v>36280</v>
      </c>
      <c r="M20" s="446">
        <v>1.0507717750826902</v>
      </c>
      <c r="N20" s="448">
        <v>0.64974619289340096</v>
      </c>
      <c r="O20" s="440">
        <v>0.71493587091435662</v>
      </c>
    </row>
    <row r="21" spans="1:16" ht="13.5" thickBot="1" x14ac:dyDescent="0.25">
      <c r="A21" s="432" t="s">
        <v>133</v>
      </c>
      <c r="B21" s="433">
        <v>166575</v>
      </c>
      <c r="C21" s="434">
        <v>71844</v>
      </c>
      <c r="D21" s="434">
        <v>66272</v>
      </c>
      <c r="E21" s="435">
        <v>2.3185652246534159</v>
      </c>
      <c r="F21" s="434">
        <v>142810</v>
      </c>
      <c r="G21" s="436">
        <v>0.85733153234278858</v>
      </c>
      <c r="H21" s="434">
        <v>55097</v>
      </c>
      <c r="I21" s="434">
        <v>37597</v>
      </c>
      <c r="J21" s="449">
        <v>1.4654626698938744</v>
      </c>
      <c r="K21" s="450">
        <v>38169</v>
      </c>
      <c r="L21" s="434">
        <v>35919</v>
      </c>
      <c r="M21" s="449">
        <v>1.0626409421197696</v>
      </c>
      <c r="N21" s="451">
        <v>0.52331440342965319</v>
      </c>
      <c r="O21" s="441">
        <v>0.56731349589570257</v>
      </c>
    </row>
    <row r="22" spans="1:16" ht="13.5" thickBot="1" x14ac:dyDescent="0.25">
      <c r="A22" s="442" t="s">
        <v>10</v>
      </c>
      <c r="B22" s="443"/>
      <c r="C22" s="443"/>
      <c r="D22" s="443"/>
      <c r="E22" s="443"/>
      <c r="F22" s="443"/>
      <c r="G22" s="443"/>
      <c r="H22" s="443"/>
      <c r="I22" s="443"/>
      <c r="J22" s="443"/>
      <c r="K22" s="443"/>
      <c r="L22" s="443"/>
      <c r="M22" s="443"/>
      <c r="N22" s="444"/>
      <c r="O22" s="445"/>
    </row>
    <row r="23" spans="1:16" x14ac:dyDescent="0.2">
      <c r="A23" s="253" t="s">
        <v>132</v>
      </c>
      <c r="B23" s="428">
        <v>118170</v>
      </c>
      <c r="C23" s="314">
        <v>56655</v>
      </c>
      <c r="D23" s="314">
        <v>51429</v>
      </c>
      <c r="E23" s="429">
        <f>B23/C23</f>
        <v>2.0857823669579032</v>
      </c>
      <c r="F23" s="447">
        <v>97922</v>
      </c>
      <c r="G23" s="323">
        <f>F23/B23</f>
        <v>0.82865363459422869</v>
      </c>
      <c r="H23" s="314">
        <v>55954</v>
      </c>
      <c r="I23" s="314">
        <v>38642</v>
      </c>
      <c r="J23" s="446">
        <f>H23/I23</f>
        <v>1.448009937373842</v>
      </c>
      <c r="K23" s="447">
        <v>39514</v>
      </c>
      <c r="L23" s="314">
        <v>36972</v>
      </c>
      <c r="M23" s="446">
        <f>K23/L23</f>
        <v>1.0687547333116953</v>
      </c>
      <c r="N23" s="448">
        <v>0.65925765296902672</v>
      </c>
      <c r="O23" s="440">
        <f>I23/D23</f>
        <v>0.75136596083921525</v>
      </c>
    </row>
    <row r="24" spans="1:16" ht="13.5" thickBot="1" x14ac:dyDescent="0.25">
      <c r="A24" s="452" t="s">
        <v>133</v>
      </c>
      <c r="B24" s="453">
        <v>176564</v>
      </c>
      <c r="C24" s="454">
        <v>74279</v>
      </c>
      <c r="D24" s="454">
        <v>68258</v>
      </c>
      <c r="E24" s="455">
        <f>B24/C24</f>
        <v>2.3770379245816451</v>
      </c>
      <c r="F24" s="100">
        <v>150815</v>
      </c>
      <c r="G24" s="128">
        <f>F24/B24</f>
        <v>0.85416619469427513</v>
      </c>
      <c r="H24" s="100">
        <v>61921</v>
      </c>
      <c r="I24" s="454">
        <v>41344</v>
      </c>
      <c r="J24" s="456">
        <f>H24/I24</f>
        <v>1.497702205882353</v>
      </c>
      <c r="K24" s="100">
        <v>42005</v>
      </c>
      <c r="L24" s="454">
        <v>39237</v>
      </c>
      <c r="M24" s="456">
        <f>K24/L24</f>
        <v>1.0705456584346407</v>
      </c>
      <c r="N24" s="457">
        <v>0.53210301257113457</v>
      </c>
      <c r="O24" s="458">
        <f>I24/D24</f>
        <v>0.60570189574848365</v>
      </c>
    </row>
    <row r="25" spans="1:16" ht="13.5" thickBot="1" x14ac:dyDescent="0.25">
      <c r="A25" s="280" t="s">
        <v>11</v>
      </c>
      <c r="B25" s="281"/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426"/>
      <c r="O25" s="427"/>
      <c r="P25" s="6" t="s">
        <v>54</v>
      </c>
    </row>
    <row r="26" spans="1:16" x14ac:dyDescent="0.2">
      <c r="A26" s="253" t="s">
        <v>132</v>
      </c>
      <c r="B26" s="428">
        <v>119427</v>
      </c>
      <c r="C26" s="314">
        <v>59081</v>
      </c>
      <c r="D26" s="314">
        <v>54203</v>
      </c>
      <c r="E26" s="429">
        <v>2.0214112828151181</v>
      </c>
      <c r="F26" s="447">
        <v>99498</v>
      </c>
      <c r="G26" s="323">
        <v>0.83312818709337089</v>
      </c>
      <c r="H26" s="314">
        <v>59570</v>
      </c>
      <c r="I26" s="314">
        <v>42299</v>
      </c>
      <c r="J26" s="446">
        <v>1.408307525000591</v>
      </c>
      <c r="K26" s="447">
        <v>42576</v>
      </c>
      <c r="L26" s="314">
        <v>40642</v>
      </c>
      <c r="M26" s="446">
        <v>1.0475862408346046</v>
      </c>
      <c r="N26" s="448">
        <v>0.71594928995785445</v>
      </c>
      <c r="O26" s="440">
        <v>0.78038115971440691</v>
      </c>
    </row>
    <row r="27" spans="1:16" ht="13.5" thickBot="1" x14ac:dyDescent="0.25">
      <c r="A27" s="452" t="s">
        <v>133</v>
      </c>
      <c r="B27" s="453">
        <v>183859</v>
      </c>
      <c r="C27" s="454">
        <v>78755</v>
      </c>
      <c r="D27" s="454">
        <v>72922</v>
      </c>
      <c r="E27" s="455">
        <v>2.3345692336994475</v>
      </c>
      <c r="F27" s="100">
        <v>157445</v>
      </c>
      <c r="G27" s="128">
        <v>0.85633556149005485</v>
      </c>
      <c r="H27" s="100">
        <v>70029</v>
      </c>
      <c r="I27" s="454">
        <v>46776</v>
      </c>
      <c r="J27" s="456">
        <v>1.4971139045664443</v>
      </c>
      <c r="K27" s="100">
        <v>47480</v>
      </c>
      <c r="L27" s="454">
        <v>44840</v>
      </c>
      <c r="M27" s="456">
        <v>1.0588760035682427</v>
      </c>
      <c r="N27" s="457">
        <v>0.59394324169893975</v>
      </c>
      <c r="O27" s="458">
        <v>0.64145251090205968</v>
      </c>
    </row>
    <row r="28" spans="1:16" ht="13.5" thickBot="1" x14ac:dyDescent="0.25">
      <c r="A28" s="280" t="s">
        <v>12</v>
      </c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426"/>
      <c r="O28" s="427"/>
    </row>
    <row r="29" spans="1:16" x14ac:dyDescent="0.2">
      <c r="A29" s="253" t="s">
        <v>132</v>
      </c>
      <c r="B29" s="428">
        <v>127380</v>
      </c>
      <c r="C29" s="314">
        <v>63262</v>
      </c>
      <c r="D29" s="314">
        <v>58023</v>
      </c>
      <c r="E29" s="429">
        <v>2.0135310296860673</v>
      </c>
      <c r="F29" s="447">
        <v>105956</v>
      </c>
      <c r="G29" s="323">
        <v>0.83181033129219661</v>
      </c>
      <c r="H29" s="314">
        <v>63578</v>
      </c>
      <c r="I29" s="314">
        <v>46100</v>
      </c>
      <c r="J29" s="446">
        <v>1.3791323210412147</v>
      </c>
      <c r="K29" s="447">
        <v>46099</v>
      </c>
      <c r="L29" s="314">
        <v>43882</v>
      </c>
      <c r="M29" s="446">
        <v>1.0505218540631693</v>
      </c>
      <c r="N29" s="448">
        <v>0.65925765296902672</v>
      </c>
      <c r="O29" s="440">
        <v>0.79451252089688573</v>
      </c>
    </row>
    <row r="30" spans="1:16" ht="13.5" thickBot="1" x14ac:dyDescent="0.25">
      <c r="A30" s="459" t="s">
        <v>133</v>
      </c>
      <c r="B30" s="460">
        <v>196272</v>
      </c>
      <c r="C30" s="461">
        <v>83538</v>
      </c>
      <c r="D30" s="461">
        <v>77208</v>
      </c>
      <c r="E30" s="462">
        <v>2.3494936436112908</v>
      </c>
      <c r="F30" s="108">
        <v>168460</v>
      </c>
      <c r="G30" s="130">
        <v>0.85829868753566474</v>
      </c>
      <c r="H30" s="108">
        <v>76176</v>
      </c>
      <c r="I30" s="461">
        <v>51090</v>
      </c>
      <c r="J30" s="463">
        <v>1.491015854374633</v>
      </c>
      <c r="K30" s="108">
        <v>51820</v>
      </c>
      <c r="L30" s="461">
        <v>48845</v>
      </c>
      <c r="M30" s="463">
        <v>1.0609069505578872</v>
      </c>
      <c r="N30" s="464">
        <v>0.53210301257113457</v>
      </c>
      <c r="O30" s="465">
        <v>0.66171899285048186</v>
      </c>
    </row>
    <row r="31" spans="1:16" ht="14.25" thickTop="1" thickBot="1" x14ac:dyDescent="0.25">
      <c r="A31" s="280" t="s">
        <v>13</v>
      </c>
      <c r="B31" s="281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426"/>
      <c r="O31" s="427"/>
    </row>
    <row r="32" spans="1:16" x14ac:dyDescent="0.2">
      <c r="A32" s="253" t="s">
        <v>132</v>
      </c>
      <c r="B32" s="428">
        <v>124142</v>
      </c>
      <c r="C32" s="314">
        <v>63599</v>
      </c>
      <c r="D32" s="314">
        <v>58762</v>
      </c>
      <c r="E32" s="429">
        <f>B32/C32</f>
        <v>1.9519489300146229</v>
      </c>
      <c r="F32" s="447">
        <v>104290</v>
      </c>
      <c r="G32" s="323">
        <f>F32/B32</f>
        <v>0.84008635272510512</v>
      </c>
      <c r="H32" s="314">
        <v>66799</v>
      </c>
      <c r="I32" s="314">
        <v>48742</v>
      </c>
      <c r="J32" s="446">
        <f>H32/I32</f>
        <v>1.3704607935661237</v>
      </c>
      <c r="K32" s="447">
        <v>48572</v>
      </c>
      <c r="L32" s="314">
        <v>46297</v>
      </c>
      <c r="M32" s="446">
        <f>K32/L32</f>
        <v>1.0491392530833532</v>
      </c>
      <c r="N32" s="448">
        <f>I32/C32</f>
        <v>0.76639569804556673</v>
      </c>
      <c r="O32" s="440">
        <f>I32/D32</f>
        <v>0.82948163779313167</v>
      </c>
    </row>
    <row r="33" spans="1:15" ht="13.5" thickBot="1" x14ac:dyDescent="0.25">
      <c r="A33" s="459" t="s">
        <v>133</v>
      </c>
      <c r="B33" s="460">
        <v>195890</v>
      </c>
      <c r="C33" s="461">
        <v>83677</v>
      </c>
      <c r="D33" s="461">
        <v>77355</v>
      </c>
      <c r="E33" s="462">
        <f>B33/C33</f>
        <v>2.3410256103827813</v>
      </c>
      <c r="F33" s="108">
        <v>168956</v>
      </c>
      <c r="G33" s="130">
        <f>F33/B33</f>
        <v>0.86250446679258763</v>
      </c>
      <c r="H33" s="108">
        <v>81979</v>
      </c>
      <c r="I33" s="461">
        <v>55261</v>
      </c>
      <c r="J33" s="463">
        <f>H33/I33</f>
        <v>1.4834874504623514</v>
      </c>
      <c r="K33" s="108">
        <v>55690</v>
      </c>
      <c r="L33" s="461">
        <v>52429</v>
      </c>
      <c r="M33" s="463">
        <f>K33/L33</f>
        <v>1.0621984016479429</v>
      </c>
      <c r="N33" s="464">
        <f>I33/C33</f>
        <v>0.66040847544725556</v>
      </c>
      <c r="O33" s="465">
        <f>I33/D33</f>
        <v>0.71438174649343933</v>
      </c>
    </row>
    <row r="34" spans="1:15" ht="14.25" thickTop="1" thickBot="1" x14ac:dyDescent="0.25">
      <c r="A34" s="280" t="s">
        <v>14</v>
      </c>
      <c r="B34" s="281"/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1"/>
      <c r="N34" s="426"/>
      <c r="O34" s="427"/>
    </row>
    <row r="35" spans="1:15" x14ac:dyDescent="0.2">
      <c r="A35" s="253" t="s">
        <v>132</v>
      </c>
      <c r="B35" s="428">
        <v>126005</v>
      </c>
      <c r="C35" s="314">
        <v>63535</v>
      </c>
      <c r="D35" s="314">
        <v>59373</v>
      </c>
      <c r="E35" s="429">
        <f>B35/C35</f>
        <v>1.9832375855827498</v>
      </c>
      <c r="F35" s="447">
        <v>108521</v>
      </c>
      <c r="G35" s="323">
        <f>F35/B35</f>
        <v>0.86124360144438716</v>
      </c>
      <c r="H35" s="314">
        <v>68256</v>
      </c>
      <c r="I35" s="314">
        <v>49482</v>
      </c>
      <c r="J35" s="446">
        <f>H35/I35</f>
        <v>1.3794106947981084</v>
      </c>
      <c r="K35" s="447">
        <v>48911</v>
      </c>
      <c r="L35" s="314">
        <v>46748</v>
      </c>
      <c r="M35" s="446">
        <f>K35/L35</f>
        <v>1.0462693591169676</v>
      </c>
      <c r="N35" s="448">
        <f>I35/C35</f>
        <v>0.77881482647359723</v>
      </c>
      <c r="O35" s="440">
        <f>I35/D35</f>
        <v>0.8334091253600121</v>
      </c>
    </row>
    <row r="36" spans="1:15" ht="13.5" thickBot="1" x14ac:dyDescent="0.25">
      <c r="A36" s="459" t="s">
        <v>133</v>
      </c>
      <c r="B36" s="460">
        <v>198426</v>
      </c>
      <c r="C36" s="461">
        <v>83085</v>
      </c>
      <c r="D36" s="461">
        <v>77394</v>
      </c>
      <c r="E36" s="462">
        <f>B36/C36</f>
        <v>2.3882289221881208</v>
      </c>
      <c r="F36" s="108">
        <v>173089</v>
      </c>
      <c r="G36" s="130">
        <f>F36/B36</f>
        <v>0.87231008033221458</v>
      </c>
      <c r="H36" s="108">
        <v>82921</v>
      </c>
      <c r="I36" s="461">
        <v>56088</v>
      </c>
      <c r="J36" s="463">
        <f>H36/I36</f>
        <v>1.4784089288261304</v>
      </c>
      <c r="K36" s="108">
        <v>56156</v>
      </c>
      <c r="L36" s="461">
        <v>53070</v>
      </c>
      <c r="M36" s="463">
        <f>K36/L36</f>
        <v>1.0581496137177313</v>
      </c>
      <c r="N36" s="464">
        <f>I36/C36</f>
        <v>0.67506770175121866</v>
      </c>
      <c r="O36" s="465">
        <f>I36/D36</f>
        <v>0.72470734165439177</v>
      </c>
    </row>
    <row r="37" spans="1:15" ht="14.25" thickTop="1" thickBot="1" x14ac:dyDescent="0.25">
      <c r="A37" s="280" t="s">
        <v>15</v>
      </c>
      <c r="B37" s="281"/>
      <c r="C37" s="281"/>
      <c r="D37" s="281"/>
      <c r="E37" s="281"/>
      <c r="F37" s="281"/>
      <c r="G37" s="281"/>
      <c r="H37" s="281"/>
      <c r="I37" s="281"/>
      <c r="J37" s="281"/>
      <c r="K37" s="281"/>
      <c r="L37" s="281"/>
      <c r="M37" s="281"/>
      <c r="N37" s="426"/>
      <c r="O37" s="427"/>
    </row>
    <row r="38" spans="1:15" x14ac:dyDescent="0.2">
      <c r="A38" s="253" t="s">
        <v>132</v>
      </c>
      <c r="B38" s="428">
        <v>129675</v>
      </c>
      <c r="C38" s="314">
        <v>66031</v>
      </c>
      <c r="D38" s="314">
        <v>61455</v>
      </c>
      <c r="E38" s="429">
        <f>B38/C38</f>
        <v>1.9638503127318987</v>
      </c>
      <c r="F38" s="447">
        <v>111957</v>
      </c>
      <c r="G38" s="323">
        <f>F38/B38</f>
        <v>0.8633661075766339</v>
      </c>
      <c r="H38" s="314">
        <v>68803</v>
      </c>
      <c r="I38" s="314">
        <v>50357</v>
      </c>
      <c r="J38" s="446">
        <f>H38/I38</f>
        <v>1.3663045852612348</v>
      </c>
      <c r="K38" s="447">
        <v>49711</v>
      </c>
      <c r="L38" s="314">
        <v>47585</v>
      </c>
      <c r="M38" s="446">
        <f>K38/L38</f>
        <v>1.0446779447304824</v>
      </c>
      <c r="N38" s="448">
        <f>I38/C38</f>
        <v>0.76262664506065336</v>
      </c>
      <c r="O38" s="440">
        <f>I38/D38</f>
        <v>0.81941257830933201</v>
      </c>
    </row>
    <row r="39" spans="1:15" ht="13.5" thickBot="1" x14ac:dyDescent="0.25">
      <c r="A39" s="459" t="s">
        <v>133</v>
      </c>
      <c r="B39" s="460">
        <v>201729</v>
      </c>
      <c r="C39" s="461">
        <v>84557</v>
      </c>
      <c r="D39" s="461">
        <v>78617</v>
      </c>
      <c r="E39" s="462">
        <f>B39/C39</f>
        <v>2.3857161441394563</v>
      </c>
      <c r="F39" s="108">
        <v>176911</v>
      </c>
      <c r="G39" s="130">
        <f>F39/B39</f>
        <v>0.87697356354316935</v>
      </c>
      <c r="H39" s="108">
        <v>82218</v>
      </c>
      <c r="I39" s="461">
        <v>56080</v>
      </c>
      <c r="J39" s="463">
        <f>H39/I39</f>
        <v>1.4660841654778887</v>
      </c>
      <c r="K39" s="108">
        <v>56335</v>
      </c>
      <c r="L39" s="461">
        <v>53091</v>
      </c>
      <c r="M39" s="463">
        <f>K39/L39</f>
        <v>1.0611026350982276</v>
      </c>
      <c r="N39" s="464">
        <f>I39/C39</f>
        <v>0.66322125903236873</v>
      </c>
      <c r="O39" s="465">
        <f>I39/D39</f>
        <v>0.71333172214660956</v>
      </c>
    </row>
    <row r="40" spans="1:15" ht="14.25" thickTop="1" thickBot="1" x14ac:dyDescent="0.25">
      <c r="A40" s="280" t="s">
        <v>16</v>
      </c>
      <c r="B40" s="281"/>
      <c r="C40" s="281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426"/>
      <c r="O40" s="427"/>
    </row>
    <row r="41" spans="1:15" x14ac:dyDescent="0.2">
      <c r="A41" s="253" t="s">
        <v>132</v>
      </c>
      <c r="B41" s="428">
        <v>128373</v>
      </c>
      <c r="C41" s="314">
        <v>64467</v>
      </c>
      <c r="D41" s="314">
        <v>60051</v>
      </c>
      <c r="E41" s="429">
        <f>B41/C41</f>
        <v>1.9912978733305413</v>
      </c>
      <c r="F41" s="447">
        <v>111495</v>
      </c>
      <c r="G41" s="323">
        <f>F41/B41</f>
        <v>0.86852375499520929</v>
      </c>
      <c r="H41" s="314">
        <v>65781</v>
      </c>
      <c r="I41" s="314">
        <v>49038</v>
      </c>
      <c r="J41" s="446">
        <f>H41/I41</f>
        <v>1.3414290958032546</v>
      </c>
      <c r="K41" s="447">
        <v>48526</v>
      </c>
      <c r="L41" s="314">
        <v>46278</v>
      </c>
      <c r="M41" s="446">
        <f>K41/L41</f>
        <v>1.0485759972341069</v>
      </c>
      <c r="N41" s="448">
        <f>I41/C41</f>
        <v>0.76066824887151563</v>
      </c>
      <c r="O41" s="440">
        <f>I41/D41</f>
        <v>0.81660588499775189</v>
      </c>
    </row>
    <row r="42" spans="1:15" ht="13.5" thickBot="1" x14ac:dyDescent="0.25">
      <c r="A42" s="459" t="s">
        <v>133</v>
      </c>
      <c r="B42" s="460">
        <v>201690</v>
      </c>
      <c r="C42" s="461">
        <v>85146</v>
      </c>
      <c r="D42" s="461">
        <v>79229</v>
      </c>
      <c r="E42" s="462">
        <f>B42/C42</f>
        <v>2.3687548446198297</v>
      </c>
      <c r="F42" s="108">
        <v>177084</v>
      </c>
      <c r="G42" s="130">
        <f>F42/B42</f>
        <v>0.87800089245872381</v>
      </c>
      <c r="H42" s="108">
        <v>77168</v>
      </c>
      <c r="I42" s="461">
        <v>54723</v>
      </c>
      <c r="J42" s="463">
        <f>H42/I42</f>
        <v>1.4101566069111708</v>
      </c>
      <c r="K42" s="108">
        <v>54585</v>
      </c>
      <c r="L42" s="461">
        <v>51559</v>
      </c>
      <c r="M42" s="463">
        <f>K42/L42</f>
        <v>1.0586900444151361</v>
      </c>
      <c r="N42" s="464">
        <f>I42/C42</f>
        <v>0.64269607497709813</v>
      </c>
      <c r="O42" s="465">
        <f>I42/D42</f>
        <v>0.69069406404220679</v>
      </c>
    </row>
    <row r="43" spans="1:15" ht="14.25" thickTop="1" thickBot="1" x14ac:dyDescent="0.25">
      <c r="A43" s="280" t="s">
        <v>17</v>
      </c>
      <c r="B43" s="281"/>
      <c r="C43" s="281"/>
      <c r="D43" s="281"/>
      <c r="E43" s="281"/>
      <c r="F43" s="281"/>
      <c r="G43" s="281"/>
      <c r="H43" s="281"/>
      <c r="I43" s="281"/>
      <c r="J43" s="281"/>
      <c r="K43" s="281"/>
      <c r="L43" s="281"/>
      <c r="M43" s="281"/>
      <c r="N43" s="426"/>
      <c r="O43" s="427"/>
    </row>
    <row r="44" spans="1:15" x14ac:dyDescent="0.2">
      <c r="A44" s="253" t="s">
        <v>132</v>
      </c>
      <c r="B44" s="428">
        <v>119322</v>
      </c>
      <c r="C44" s="314">
        <v>60716</v>
      </c>
      <c r="D44" s="314">
        <v>56338</v>
      </c>
      <c r="E44" s="429">
        <f>B44/C44</f>
        <v>1.9652480400553396</v>
      </c>
      <c r="F44" s="447">
        <v>102562</v>
      </c>
      <c r="G44" s="323">
        <f>F44/B44</f>
        <v>0.85953973282378771</v>
      </c>
      <c r="H44" s="314">
        <v>61291</v>
      </c>
      <c r="I44" s="314">
        <v>45990</v>
      </c>
      <c r="J44" s="446">
        <f>H44/I44</f>
        <v>1.3327027614698848</v>
      </c>
      <c r="K44" s="447">
        <v>44946</v>
      </c>
      <c r="L44" s="314">
        <v>43239</v>
      </c>
      <c r="M44" s="446">
        <f>K44/L44</f>
        <v>1.0394782488031638</v>
      </c>
      <c r="N44" s="448">
        <f>I44/C44</f>
        <v>0.75746096580802424</v>
      </c>
      <c r="O44" s="440">
        <f>I44/D44</f>
        <v>0.81632290816145403</v>
      </c>
    </row>
    <row r="45" spans="1:15" ht="13.5" thickBot="1" x14ac:dyDescent="0.25">
      <c r="A45" s="459" t="s">
        <v>133</v>
      </c>
      <c r="B45" s="460">
        <v>190123</v>
      </c>
      <c r="C45" s="461">
        <v>80338</v>
      </c>
      <c r="D45" s="461">
        <v>74390</v>
      </c>
      <c r="E45" s="462">
        <f>B45/C45</f>
        <v>2.3665388732604744</v>
      </c>
      <c r="F45" s="108">
        <v>166147</v>
      </c>
      <c r="G45" s="130">
        <f>F45/B45</f>
        <v>0.87389216454610963</v>
      </c>
      <c r="H45" s="108">
        <v>73777</v>
      </c>
      <c r="I45" s="461">
        <v>52271</v>
      </c>
      <c r="J45" s="463">
        <f>H45/I45</f>
        <v>1.411432725603107</v>
      </c>
      <c r="K45" s="108">
        <v>51411</v>
      </c>
      <c r="L45" s="461">
        <v>49189</v>
      </c>
      <c r="M45" s="463">
        <f>K45/L45</f>
        <v>1.045172701213686</v>
      </c>
      <c r="N45" s="464">
        <f>I45/C45</f>
        <v>0.65063855211730437</v>
      </c>
      <c r="O45" s="465">
        <f>I45/D45</f>
        <v>0.70266164807097731</v>
      </c>
    </row>
    <row r="46" spans="1:15" ht="14.25" thickTop="1" thickBot="1" x14ac:dyDescent="0.25">
      <c r="A46" s="280" t="s">
        <v>35</v>
      </c>
      <c r="B46" s="281"/>
      <c r="C46" s="281"/>
      <c r="D46" s="281"/>
      <c r="E46" s="281"/>
      <c r="F46" s="281"/>
      <c r="G46" s="281"/>
      <c r="H46" s="281"/>
      <c r="I46" s="281"/>
      <c r="J46" s="281"/>
      <c r="K46" s="281"/>
      <c r="L46" s="281"/>
      <c r="M46" s="281"/>
      <c r="N46" s="426"/>
      <c r="O46" s="427"/>
    </row>
    <row r="47" spans="1:15" x14ac:dyDescent="0.2">
      <c r="A47" s="253" t="s">
        <v>132</v>
      </c>
      <c r="B47" s="428">
        <v>113016</v>
      </c>
      <c r="C47" s="314">
        <v>57771</v>
      </c>
      <c r="D47" s="314">
        <v>53421</v>
      </c>
      <c r="E47" s="429">
        <f>B47/C47</f>
        <v>1.9562756400270032</v>
      </c>
      <c r="F47" s="447">
        <v>96863</v>
      </c>
      <c r="G47" s="323">
        <f>F47/B47</f>
        <v>0.85707333474906211</v>
      </c>
      <c r="H47" s="314">
        <v>58345</v>
      </c>
      <c r="I47" s="314">
        <v>43768</v>
      </c>
      <c r="J47" s="446">
        <f>H47/I47</f>
        <v>1.3330515445074027</v>
      </c>
      <c r="K47" s="447">
        <v>42731</v>
      </c>
      <c r="L47" s="314">
        <v>41141</v>
      </c>
      <c r="M47" s="446">
        <f>K47/L47</f>
        <v>1.0386475778420554</v>
      </c>
      <c r="N47" s="448">
        <f>I47/C47</f>
        <v>0.75761195063267039</v>
      </c>
      <c r="O47" s="440">
        <f>I47/D47</f>
        <v>0.81930327024952732</v>
      </c>
    </row>
    <row r="48" spans="1:15" ht="13.5" thickBot="1" x14ac:dyDescent="0.25">
      <c r="A48" s="459" t="s">
        <v>133</v>
      </c>
      <c r="B48" s="460">
        <v>177883</v>
      </c>
      <c r="C48" s="461">
        <v>76486</v>
      </c>
      <c r="D48" s="461">
        <v>70345</v>
      </c>
      <c r="E48" s="462">
        <f>B48/C48</f>
        <v>2.3256935909839709</v>
      </c>
      <c r="F48" s="108">
        <v>153501</v>
      </c>
      <c r="G48" s="130">
        <f>F48/B48</f>
        <v>0.8629323768994227</v>
      </c>
      <c r="H48" s="108">
        <v>69777</v>
      </c>
      <c r="I48" s="461">
        <v>49946</v>
      </c>
      <c r="J48" s="463">
        <f>H48/I48</f>
        <v>1.3970488127177352</v>
      </c>
      <c r="K48" s="108">
        <v>48947</v>
      </c>
      <c r="L48" s="461">
        <v>46968</v>
      </c>
      <c r="M48" s="463">
        <f>K48/L48</f>
        <v>1.0421350706864247</v>
      </c>
      <c r="N48" s="464">
        <f>I48/C48</f>
        <v>0.65300839369296337</v>
      </c>
      <c r="O48" s="465">
        <f>I48/D48</f>
        <v>0.71001492643400388</v>
      </c>
    </row>
    <row r="49" spans="1:43" ht="14.25" thickTop="1" thickBot="1" x14ac:dyDescent="0.25">
      <c r="A49" s="280" t="s">
        <v>542</v>
      </c>
      <c r="B49" s="281"/>
      <c r="C49" s="281"/>
      <c r="D49" s="281"/>
      <c r="E49" s="281"/>
      <c r="F49" s="281"/>
      <c r="G49" s="281"/>
      <c r="H49" s="281"/>
      <c r="I49" s="281"/>
      <c r="J49" s="281"/>
      <c r="K49" s="281"/>
      <c r="L49" s="281"/>
      <c r="M49" s="281"/>
      <c r="N49" s="426"/>
      <c r="O49" s="427"/>
      <c r="Q49" s="6"/>
    </row>
    <row r="50" spans="1:43" x14ac:dyDescent="0.2">
      <c r="A50" s="253" t="s">
        <v>132</v>
      </c>
      <c r="B50" s="428">
        <v>100554</v>
      </c>
      <c r="C50" s="314">
        <v>52013</v>
      </c>
      <c r="D50" s="314">
        <v>47767</v>
      </c>
      <c r="E50" s="429">
        <f>B50/C50</f>
        <v>1.9332474573664276</v>
      </c>
      <c r="F50" s="447">
        <v>85911</v>
      </c>
      <c r="G50" s="323">
        <f>F50/B50</f>
        <v>0.85437675278954595</v>
      </c>
      <c r="H50" s="314">
        <v>52608</v>
      </c>
      <c r="I50" s="314">
        <v>39439</v>
      </c>
      <c r="J50" s="446">
        <f>H50/I50</f>
        <v>1.3339080605492026</v>
      </c>
      <c r="K50" s="447">
        <v>38174</v>
      </c>
      <c r="L50" s="314">
        <v>36797</v>
      </c>
      <c r="M50" s="446">
        <f>K50/L50</f>
        <v>1.0374215289289888</v>
      </c>
      <c r="N50" s="448">
        <f>I50/C50</f>
        <v>0.75825274450618119</v>
      </c>
      <c r="O50" s="440">
        <f>I50/D50</f>
        <v>0.8256536939728264</v>
      </c>
      <c r="Q50" s="6"/>
    </row>
    <row r="51" spans="1:43" ht="13.5" thickBot="1" x14ac:dyDescent="0.25">
      <c r="A51" s="459" t="s">
        <v>133</v>
      </c>
      <c r="B51" s="460">
        <v>159855</v>
      </c>
      <c r="C51" s="461">
        <v>69748</v>
      </c>
      <c r="D51" s="461">
        <v>63607</v>
      </c>
      <c r="E51" s="462">
        <f>B51/C51</f>
        <v>2.2918936743705913</v>
      </c>
      <c r="F51" s="108">
        <v>137393</v>
      </c>
      <c r="G51" s="130">
        <f>F51/B51</f>
        <v>0.85948515842482254</v>
      </c>
      <c r="H51" s="108">
        <v>63886</v>
      </c>
      <c r="I51" s="461">
        <v>45325</v>
      </c>
      <c r="J51" s="463">
        <f>H51/I51</f>
        <v>1.4095091009376723</v>
      </c>
      <c r="K51" s="108">
        <v>44184</v>
      </c>
      <c r="L51" s="461">
        <v>42276</v>
      </c>
      <c r="M51" s="463">
        <f>K51/L51</f>
        <v>1.0451319897814362</v>
      </c>
      <c r="N51" s="464">
        <f>I51/C51</f>
        <v>0.64983942191890809</v>
      </c>
      <c r="O51" s="465">
        <f>I51/D51</f>
        <v>0.71257880421966135</v>
      </c>
      <c r="Q51" s="6"/>
      <c r="AK51" s="392"/>
      <c r="AL51" s="392"/>
    </row>
    <row r="52" spans="1:43" ht="14.25" thickTop="1" thickBot="1" x14ac:dyDescent="0.25">
      <c r="A52" s="280" t="s">
        <v>544</v>
      </c>
      <c r="B52" s="281"/>
      <c r="C52" s="281"/>
      <c r="D52" s="281"/>
      <c r="E52" s="281"/>
      <c r="F52" s="281"/>
      <c r="G52" s="281"/>
      <c r="H52" s="281"/>
      <c r="I52" s="281"/>
      <c r="J52" s="281"/>
      <c r="K52" s="281"/>
      <c r="L52" s="281"/>
      <c r="M52" s="281"/>
      <c r="N52" s="426"/>
      <c r="O52" s="427"/>
      <c r="Q52" s="6"/>
      <c r="AK52" s="392"/>
      <c r="AL52" s="392"/>
    </row>
    <row r="53" spans="1:43" x14ac:dyDescent="0.2">
      <c r="A53" s="253" t="s">
        <v>132</v>
      </c>
      <c r="B53" s="428">
        <v>94092</v>
      </c>
      <c r="C53" s="314">
        <v>48633</v>
      </c>
      <c r="D53" s="314">
        <v>44839</v>
      </c>
      <c r="E53" s="429">
        <f>B53/C53</f>
        <v>1.9347356733082475</v>
      </c>
      <c r="F53" s="447">
        <v>80466</v>
      </c>
      <c r="G53" s="323">
        <f>F53/B53</f>
        <v>0.85518428771840327</v>
      </c>
      <c r="H53" s="314">
        <v>50561</v>
      </c>
      <c r="I53" s="314">
        <v>37609</v>
      </c>
      <c r="J53" s="446">
        <f>H53/I53</f>
        <v>1.3443856523704432</v>
      </c>
      <c r="K53" s="447">
        <v>36454</v>
      </c>
      <c r="L53" s="314">
        <v>35062</v>
      </c>
      <c r="M53" s="446">
        <f>K53/L53</f>
        <v>1.0397011009069648</v>
      </c>
      <c r="N53" s="448">
        <f>I53/C53</f>
        <v>0.77332264100507886</v>
      </c>
      <c r="O53" s="440">
        <f>I53/D53</f>
        <v>0.83875643970650549</v>
      </c>
      <c r="Q53" s="6"/>
      <c r="AK53" s="392"/>
      <c r="AL53" s="392"/>
    </row>
    <row r="54" spans="1:43" ht="13.5" thickBot="1" x14ac:dyDescent="0.25">
      <c r="A54" s="459" t="s">
        <v>133</v>
      </c>
      <c r="B54" s="460">
        <v>149551</v>
      </c>
      <c r="C54" s="461">
        <v>64460</v>
      </c>
      <c r="D54" s="461">
        <v>58603</v>
      </c>
      <c r="E54" s="462">
        <f>B54/C54</f>
        <v>2.3200589512876202</v>
      </c>
      <c r="F54" s="108">
        <v>127832</v>
      </c>
      <c r="G54" s="130">
        <f>F54/B54</f>
        <v>0.85477195070577927</v>
      </c>
      <c r="H54" s="108">
        <v>60207</v>
      </c>
      <c r="I54" s="461">
        <v>42693</v>
      </c>
      <c r="J54" s="463">
        <f>H54/I54</f>
        <v>1.4102311854402361</v>
      </c>
      <c r="K54" s="108">
        <v>41669</v>
      </c>
      <c r="L54" s="461">
        <v>39771</v>
      </c>
      <c r="M54" s="463">
        <f>K54/L54</f>
        <v>1.0477232154082121</v>
      </c>
      <c r="N54" s="464">
        <f>I54/C54</f>
        <v>0.66231771641327952</v>
      </c>
      <c r="O54" s="465">
        <f>I54/D54</f>
        <v>0.72851219220858998</v>
      </c>
      <c r="Q54" s="6"/>
      <c r="AK54" s="392"/>
      <c r="AL54" s="392"/>
    </row>
    <row r="55" spans="1:43" ht="14.25" thickTop="1" thickBot="1" x14ac:dyDescent="0.25">
      <c r="A55" s="280" t="s">
        <v>551</v>
      </c>
      <c r="B55" s="281"/>
      <c r="C55" s="281"/>
      <c r="D55" s="281"/>
      <c r="E55" s="281"/>
      <c r="F55" s="281"/>
      <c r="G55" s="281"/>
      <c r="H55" s="281"/>
      <c r="I55" s="281"/>
      <c r="J55" s="281"/>
      <c r="K55" s="281"/>
      <c r="L55" s="281"/>
      <c r="M55" s="281"/>
      <c r="N55" s="426"/>
      <c r="O55" s="427"/>
      <c r="Q55" s="6"/>
      <c r="AK55" s="392"/>
      <c r="AL55" s="392"/>
    </row>
    <row r="56" spans="1:43" x14ac:dyDescent="0.2">
      <c r="A56" s="253" t="s">
        <v>132</v>
      </c>
      <c r="B56" s="428">
        <v>85171</v>
      </c>
      <c r="C56" s="314">
        <v>43779</v>
      </c>
      <c r="D56" s="314">
        <v>40380</v>
      </c>
      <c r="E56" s="429">
        <f>B56/C56</f>
        <v>1.9454761415290436</v>
      </c>
      <c r="F56" s="447">
        <v>72713</v>
      </c>
      <c r="G56" s="323">
        <f>F56/B56</f>
        <v>0.85372955583473253</v>
      </c>
      <c r="H56" s="314">
        <v>46094</v>
      </c>
      <c r="I56" s="314">
        <v>34256</v>
      </c>
      <c r="J56" s="446">
        <f>H56/I56</f>
        <v>1.3455744978981785</v>
      </c>
      <c r="K56" s="447">
        <v>33247</v>
      </c>
      <c r="L56" s="314">
        <v>32029</v>
      </c>
      <c r="M56" s="446">
        <f>K56/L56</f>
        <v>1.0380280370913859</v>
      </c>
      <c r="N56" s="448">
        <f>I56/C56</f>
        <v>0.78247561616300054</v>
      </c>
      <c r="O56" s="440">
        <f>I56/D56</f>
        <v>0.84834076275383852</v>
      </c>
      <c r="Q56" s="6"/>
      <c r="AK56" s="392"/>
      <c r="AL56" s="392"/>
    </row>
    <row r="57" spans="1:43" ht="13.5" thickBot="1" x14ac:dyDescent="0.25">
      <c r="A57" s="459" t="s">
        <v>133</v>
      </c>
      <c r="B57" s="460">
        <v>138921</v>
      </c>
      <c r="C57" s="461">
        <v>59012</v>
      </c>
      <c r="D57" s="461">
        <v>53688</v>
      </c>
      <c r="E57" s="462">
        <f>B57/C57</f>
        <v>2.3541144174066293</v>
      </c>
      <c r="F57" s="108">
        <v>118105</v>
      </c>
      <c r="G57" s="130">
        <f>F57/B57</f>
        <v>0.85015944313674674</v>
      </c>
      <c r="H57" s="108">
        <v>57440</v>
      </c>
      <c r="I57" s="461">
        <v>40511</v>
      </c>
      <c r="J57" s="463">
        <f>H57/I57</f>
        <v>1.417886499962973</v>
      </c>
      <c r="K57" s="108">
        <v>39481</v>
      </c>
      <c r="L57" s="461">
        <v>37810</v>
      </c>
      <c r="M57" s="463">
        <f>K57/L57</f>
        <v>1.0441946574980163</v>
      </c>
      <c r="N57" s="464">
        <f>I57/C57</f>
        <v>0.68648749406900289</v>
      </c>
      <c r="O57" s="465">
        <f>I57/D57</f>
        <v>0.75456340336760541</v>
      </c>
      <c r="Q57" s="6"/>
      <c r="AK57" s="392"/>
      <c r="AL57" s="392"/>
    </row>
    <row r="58" spans="1:43" ht="14.25" thickTop="1" thickBot="1" x14ac:dyDescent="0.25">
      <c r="A58" s="280" t="s">
        <v>561</v>
      </c>
      <c r="B58" s="281"/>
      <c r="C58" s="281"/>
      <c r="D58" s="281"/>
      <c r="E58" s="281"/>
      <c r="F58" s="281"/>
      <c r="G58" s="281"/>
      <c r="H58" s="281"/>
      <c r="I58" s="281"/>
      <c r="J58" s="281"/>
      <c r="K58" s="281"/>
      <c r="L58" s="281"/>
      <c r="M58" s="281"/>
      <c r="N58" s="426"/>
      <c r="O58" s="427"/>
      <c r="Q58" s="6"/>
      <c r="AK58" s="392"/>
      <c r="AL58" s="392"/>
    </row>
    <row r="59" spans="1:43" x14ac:dyDescent="0.2">
      <c r="A59" s="253" t="s">
        <v>132</v>
      </c>
      <c r="B59" s="428">
        <v>81013</v>
      </c>
      <c r="C59" s="314">
        <v>42112</v>
      </c>
      <c r="D59" s="314">
        <v>39256</v>
      </c>
      <c r="E59" s="429">
        <f>B59/C59</f>
        <v>1.9237509498480243</v>
      </c>
      <c r="F59" s="447">
        <v>70086</v>
      </c>
      <c r="G59" s="323">
        <f>F59/B59</f>
        <v>0.86512041277325857</v>
      </c>
      <c r="H59" s="314">
        <v>44930</v>
      </c>
      <c r="I59" s="314">
        <v>33897</v>
      </c>
      <c r="J59" s="446">
        <f>H59/I59</f>
        <v>1.3254860312122017</v>
      </c>
      <c r="K59" s="447">
        <v>33065</v>
      </c>
      <c r="L59" s="314">
        <v>31943</v>
      </c>
      <c r="M59" s="446">
        <f>K59/L59</f>
        <v>1.0351250665247471</v>
      </c>
      <c r="N59" s="448">
        <f>I59/C59</f>
        <v>0.80492496200607899</v>
      </c>
      <c r="O59" s="440">
        <f>I59/D59</f>
        <v>0.86348583656001632</v>
      </c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spans="1:43" ht="13.5" thickBot="1" x14ac:dyDescent="0.25">
      <c r="A60" s="459" t="s">
        <v>133</v>
      </c>
      <c r="B60" s="460">
        <v>132277</v>
      </c>
      <c r="C60" s="461">
        <v>55886</v>
      </c>
      <c r="D60" s="461">
        <v>51272</v>
      </c>
      <c r="E60" s="462">
        <f>B60/C60</f>
        <v>2.3669076333965573</v>
      </c>
      <c r="F60" s="108">
        <v>113218</v>
      </c>
      <c r="G60" s="130">
        <f>F60/B60</f>
        <v>0.85591599446615818</v>
      </c>
      <c r="H60" s="108">
        <v>58562</v>
      </c>
      <c r="I60" s="461">
        <v>40726</v>
      </c>
      <c r="J60" s="463">
        <f>H60/I60</f>
        <v>1.4379511859745617</v>
      </c>
      <c r="K60" s="108">
        <v>39680</v>
      </c>
      <c r="L60" s="461">
        <v>37968</v>
      </c>
      <c r="M60" s="463">
        <f>K60/L60</f>
        <v>1.0450906026127265</v>
      </c>
      <c r="N60" s="464">
        <f>I60/C60</f>
        <v>0.72873349318255021</v>
      </c>
      <c r="O60" s="465">
        <f>I60/D60</f>
        <v>0.79431268528631616</v>
      </c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1:43" ht="14.25" thickTop="1" thickBot="1" x14ac:dyDescent="0.25">
      <c r="A61" s="280" t="s">
        <v>586</v>
      </c>
      <c r="B61" s="281"/>
      <c r="C61" s="281"/>
      <c r="D61" s="281"/>
      <c r="E61" s="281"/>
      <c r="F61" s="281"/>
      <c r="G61" s="281"/>
      <c r="H61" s="281"/>
      <c r="I61" s="281"/>
      <c r="J61" s="281"/>
      <c r="K61" s="281"/>
      <c r="L61" s="281"/>
      <c r="M61" s="281"/>
      <c r="N61" s="426"/>
      <c r="O61" s="427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K61" s="392"/>
      <c r="AL61" s="392"/>
      <c r="AM61" s="392"/>
      <c r="AN61" s="392"/>
      <c r="AO61" s="392"/>
    </row>
    <row r="62" spans="1:43" x14ac:dyDescent="0.2">
      <c r="A62" s="253" t="s">
        <v>132</v>
      </c>
      <c r="B62" s="428">
        <v>78678</v>
      </c>
      <c r="C62" s="314">
        <v>41314</v>
      </c>
      <c r="D62" s="314">
        <v>38761</v>
      </c>
      <c r="E62" s="429">
        <f>B62/C62</f>
        <v>1.9043907634216004</v>
      </c>
      <c r="F62" s="447">
        <v>68185</v>
      </c>
      <c r="G62" s="323">
        <f>F62/B62</f>
        <v>0.86663362058008597</v>
      </c>
      <c r="H62" s="314">
        <v>44256</v>
      </c>
      <c r="I62" s="314">
        <v>33720</v>
      </c>
      <c r="J62" s="446">
        <f>H62/I62</f>
        <v>1.3124555160142348</v>
      </c>
      <c r="K62" s="447">
        <v>32087</v>
      </c>
      <c r="L62" s="314">
        <v>31744</v>
      </c>
      <c r="M62" s="446">
        <f>K62/L62</f>
        <v>1.010805191532258</v>
      </c>
      <c r="N62" s="448">
        <f>I62/C62</f>
        <v>0.81618821706927436</v>
      </c>
      <c r="O62" s="440">
        <f>I62/D62</f>
        <v>0.86994659580506184</v>
      </c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K62" s="392"/>
      <c r="AL62" s="392"/>
      <c r="AM62" s="392"/>
      <c r="AN62" s="392"/>
      <c r="AO62" s="392"/>
    </row>
    <row r="63" spans="1:43" ht="13.5" thickBot="1" x14ac:dyDescent="0.25">
      <c r="A63" s="459" t="s">
        <v>133</v>
      </c>
      <c r="B63" s="460">
        <v>125342</v>
      </c>
      <c r="C63" s="461">
        <v>53823</v>
      </c>
      <c r="D63" s="461">
        <v>49355</v>
      </c>
      <c r="E63" s="462">
        <f>B63/C63</f>
        <v>2.3287813759916762</v>
      </c>
      <c r="F63" s="108">
        <v>106735</v>
      </c>
      <c r="G63" s="130">
        <f>F63/B63</f>
        <v>0.85155015876561724</v>
      </c>
      <c r="H63" s="108">
        <v>56435</v>
      </c>
      <c r="I63" s="461">
        <v>39630</v>
      </c>
      <c r="J63" s="463">
        <f>H63/I63</f>
        <v>1.424047438808983</v>
      </c>
      <c r="K63" s="108">
        <v>38728</v>
      </c>
      <c r="L63" s="461">
        <v>37009</v>
      </c>
      <c r="M63" s="463">
        <f>K63/L63</f>
        <v>1.0464481612580723</v>
      </c>
      <c r="N63" s="464">
        <f>I63/C63</f>
        <v>0.73630232428515685</v>
      </c>
      <c r="O63" s="465">
        <f>I63/D63</f>
        <v>0.80295816026745015</v>
      </c>
      <c r="AK63" s="392"/>
      <c r="AL63" s="392"/>
      <c r="AM63" s="392"/>
      <c r="AN63" s="392"/>
      <c r="AO63" s="392"/>
    </row>
    <row r="64" spans="1:43" ht="14.25" thickTop="1" thickBot="1" x14ac:dyDescent="0.25">
      <c r="A64" s="280" t="s">
        <v>590</v>
      </c>
      <c r="B64" s="281"/>
      <c r="C64" s="281"/>
      <c r="D64" s="281"/>
      <c r="E64" s="281"/>
      <c r="F64" s="281"/>
      <c r="G64" s="281"/>
      <c r="H64" s="281"/>
      <c r="I64" s="281"/>
      <c r="J64" s="281"/>
      <c r="K64" s="281"/>
      <c r="L64" s="281"/>
      <c r="M64" s="281"/>
      <c r="N64" s="426"/>
      <c r="O64" s="427"/>
      <c r="AG64" s="388"/>
      <c r="AH64" s="388"/>
      <c r="AI64" s="388"/>
      <c r="AJ64" s="388"/>
      <c r="AK64" s="388"/>
      <c r="AL64" s="388"/>
      <c r="AM64" s="388"/>
      <c r="AN64" s="388"/>
      <c r="AO64" s="388"/>
      <c r="AP64" s="388"/>
      <c r="AQ64" s="388"/>
    </row>
    <row r="65" spans="1:44" x14ac:dyDescent="0.2">
      <c r="A65" s="253" t="s">
        <v>132</v>
      </c>
      <c r="B65" s="428">
        <v>83071</v>
      </c>
      <c r="C65" s="314">
        <v>43298</v>
      </c>
      <c r="D65" s="314">
        <v>41003</v>
      </c>
      <c r="E65" s="429">
        <f>B65/C65</f>
        <v>1.918587463624186</v>
      </c>
      <c r="F65" s="447">
        <v>72656</v>
      </c>
      <c r="G65" s="323">
        <f>F65/B65</f>
        <v>0.87462532050896225</v>
      </c>
      <c r="H65" s="314">
        <v>47779</v>
      </c>
      <c r="I65" s="314">
        <v>35940</v>
      </c>
      <c r="J65" s="446">
        <f>H65/I65</f>
        <v>1.3294101279910964</v>
      </c>
      <c r="K65" s="447">
        <v>35739</v>
      </c>
      <c r="L65" s="314">
        <v>33925</v>
      </c>
      <c r="M65" s="446">
        <f>K65/L65</f>
        <v>1.0534708916728077</v>
      </c>
      <c r="N65" s="448">
        <f>I65/C65</f>
        <v>0.83006143470830063</v>
      </c>
      <c r="O65" s="440">
        <f>I65/D65</f>
        <v>0.87652123015389116</v>
      </c>
      <c r="AG65" s="388"/>
      <c r="AH65" s="388"/>
      <c r="AI65" s="388"/>
      <c r="AJ65" s="388"/>
      <c r="AK65" s="388"/>
      <c r="AL65" s="388"/>
      <c r="AM65" s="388"/>
      <c r="AN65" s="388"/>
      <c r="AO65" s="388"/>
      <c r="AP65" s="388"/>
      <c r="AQ65" s="388"/>
    </row>
    <row r="66" spans="1:44" ht="13.5" thickBot="1" x14ac:dyDescent="0.25">
      <c r="A66" s="459" t="s">
        <v>133</v>
      </c>
      <c r="B66" s="460">
        <v>128328</v>
      </c>
      <c r="C66" s="461">
        <v>54829</v>
      </c>
      <c r="D66" s="461">
        <v>50747</v>
      </c>
      <c r="E66" s="462">
        <f>B66/C66</f>
        <v>2.3405132320487332</v>
      </c>
      <c r="F66" s="108">
        <v>110414</v>
      </c>
      <c r="G66" s="130">
        <f>F66/B66</f>
        <v>0.86040458824262822</v>
      </c>
      <c r="H66" s="108">
        <v>59531</v>
      </c>
      <c r="I66" s="461">
        <v>41545</v>
      </c>
      <c r="J66" s="463">
        <f>H66/I66</f>
        <v>1.4329281501985798</v>
      </c>
      <c r="K66" s="108">
        <v>40815</v>
      </c>
      <c r="L66" s="461">
        <v>38805</v>
      </c>
      <c r="M66" s="463">
        <f>K66/L66</f>
        <v>1.0517974487823734</v>
      </c>
      <c r="N66" s="464">
        <f>I66/C66</f>
        <v>0.75771945503292049</v>
      </c>
      <c r="O66" s="465">
        <f>I66/D66</f>
        <v>0.81866908388673221</v>
      </c>
      <c r="AG66" s="388"/>
      <c r="AH66" s="388"/>
      <c r="AI66" s="388"/>
      <c r="AJ66" s="388"/>
      <c r="AK66" s="388"/>
      <c r="AL66" s="388"/>
      <c r="AM66" s="388"/>
      <c r="AN66" s="388"/>
      <c r="AO66" s="388"/>
      <c r="AP66" s="388"/>
      <c r="AQ66" s="388"/>
    </row>
    <row r="67" spans="1:44" ht="14.25" thickTop="1" thickBot="1" x14ac:dyDescent="0.25">
      <c r="A67" s="280" t="s">
        <v>593</v>
      </c>
      <c r="B67" s="281"/>
      <c r="C67" s="281"/>
      <c r="D67" s="281"/>
      <c r="E67" s="281"/>
      <c r="F67" s="281"/>
      <c r="G67" s="281"/>
      <c r="H67" s="281"/>
      <c r="I67" s="281"/>
      <c r="J67" s="281"/>
      <c r="K67" s="281"/>
      <c r="L67" s="281"/>
      <c r="M67" s="281"/>
      <c r="N67" s="426"/>
      <c r="O67" s="427"/>
      <c r="AK67" s="392"/>
      <c r="AL67" s="392"/>
      <c r="AM67" s="392"/>
      <c r="AN67" s="392"/>
      <c r="AO67" s="392"/>
      <c r="AP67" s="392"/>
      <c r="AQ67" s="388"/>
    </row>
    <row r="68" spans="1:44" ht="13.5" thickTop="1" x14ac:dyDescent="0.2">
      <c r="A68" s="253" t="s">
        <v>132</v>
      </c>
      <c r="B68" s="428">
        <v>81759</v>
      </c>
      <c r="C68" s="314">
        <v>43414</v>
      </c>
      <c r="D68" s="314">
        <v>41971</v>
      </c>
      <c r="E68" s="429">
        <f>B68/C68</f>
        <v>1.8832404293545861</v>
      </c>
      <c r="F68" s="447">
        <v>74379</v>
      </c>
      <c r="G68" s="323">
        <f>F68/B68</f>
        <v>0.9097347081055297</v>
      </c>
      <c r="H68" s="314">
        <v>48708</v>
      </c>
      <c r="I68" s="314">
        <v>36970</v>
      </c>
      <c r="J68" s="446">
        <f>H68/I68</f>
        <v>1.3175006762239654</v>
      </c>
      <c r="K68" s="447">
        <v>36519</v>
      </c>
      <c r="L68" s="314">
        <v>35127</v>
      </c>
      <c r="M68" s="446">
        <f>K68/L68</f>
        <v>1.0396276368605346</v>
      </c>
      <c r="N68" s="448">
        <f>I68/C68</f>
        <v>0.85156861841802178</v>
      </c>
      <c r="O68" s="440">
        <f>I68/D68</f>
        <v>0.8808462986347716</v>
      </c>
      <c r="P68" s="698" t="s">
        <v>598</v>
      </c>
      <c r="AK68" s="392"/>
      <c r="AL68" s="392"/>
      <c r="AM68" s="392"/>
      <c r="AN68" s="392"/>
      <c r="AO68" s="392"/>
      <c r="AP68" s="392"/>
      <c r="AQ68" s="388"/>
    </row>
    <row r="69" spans="1:44" ht="13.5" thickBot="1" x14ac:dyDescent="0.25">
      <c r="A69" s="459" t="s">
        <v>133</v>
      </c>
      <c r="B69" s="460">
        <v>129618</v>
      </c>
      <c r="C69" s="461">
        <v>55454</v>
      </c>
      <c r="D69" s="461">
        <v>52798</v>
      </c>
      <c r="E69" s="462">
        <f>B69/C69</f>
        <v>2.3373967612796189</v>
      </c>
      <c r="F69" s="108">
        <v>115465</v>
      </c>
      <c r="G69" s="130">
        <f>F69/B69</f>
        <v>0.89080991837553425</v>
      </c>
      <c r="H69" s="108">
        <v>61183</v>
      </c>
      <c r="I69" s="461">
        <v>42830</v>
      </c>
      <c r="J69" s="463">
        <f>H69/I69</f>
        <v>1.4285080551015643</v>
      </c>
      <c r="K69" s="108">
        <v>42615</v>
      </c>
      <c r="L69" s="461">
        <v>40478</v>
      </c>
      <c r="M69" s="463">
        <f>K69/L69</f>
        <v>1.0527941103809477</v>
      </c>
      <c r="N69" s="464">
        <f>I69/C69</f>
        <v>0.77235185919861504</v>
      </c>
      <c r="O69" s="465">
        <f>I69/D69</f>
        <v>0.81120496988522295</v>
      </c>
      <c r="P69" s="699"/>
      <c r="AK69" s="392"/>
      <c r="AL69" s="392"/>
      <c r="AM69" s="392"/>
      <c r="AN69" s="392"/>
      <c r="AO69" s="392"/>
      <c r="AP69" s="392"/>
      <c r="AQ69" s="388"/>
    </row>
    <row r="70" spans="1:44" ht="14.25" thickTop="1" thickBot="1" x14ac:dyDescent="0.25">
      <c r="A70" s="280" t="s">
        <v>596</v>
      </c>
      <c r="B70" s="281"/>
      <c r="C70" s="281"/>
      <c r="D70" s="281"/>
      <c r="E70" s="281"/>
      <c r="F70" s="281"/>
      <c r="G70" s="281"/>
      <c r="H70" s="281"/>
      <c r="I70" s="281"/>
      <c r="J70" s="281"/>
      <c r="K70" s="281"/>
      <c r="L70" s="281"/>
      <c r="M70" s="281"/>
      <c r="N70" s="426"/>
      <c r="O70" s="427"/>
      <c r="P70" s="700"/>
      <c r="AK70" s="392"/>
      <c r="AL70" s="392"/>
      <c r="AM70" s="392"/>
      <c r="AN70" s="392"/>
      <c r="AO70" s="392"/>
      <c r="AP70" s="392"/>
      <c r="AQ70" s="392"/>
    </row>
    <row r="71" spans="1:44" x14ac:dyDescent="0.2">
      <c r="A71" s="253" t="s">
        <v>132</v>
      </c>
      <c r="B71" s="428">
        <v>86543</v>
      </c>
      <c r="C71" s="314">
        <v>43864</v>
      </c>
      <c r="D71" s="314">
        <v>42114</v>
      </c>
      <c r="E71" s="429">
        <f>B71/C71</f>
        <v>1.9729846799197519</v>
      </c>
      <c r="F71" s="447">
        <v>77431</v>
      </c>
      <c r="G71" s="323">
        <f>F71/B71</f>
        <v>0.89471129958517726</v>
      </c>
      <c r="H71" s="314">
        <v>49097</v>
      </c>
      <c r="I71" s="314">
        <v>36761</v>
      </c>
      <c r="J71" s="446">
        <f>H71/I71</f>
        <v>1.3355730257609968</v>
      </c>
      <c r="K71" s="447">
        <v>36107</v>
      </c>
      <c r="L71" s="314">
        <v>34845</v>
      </c>
      <c r="M71" s="446">
        <f>K71/L71</f>
        <v>1.036217534796958</v>
      </c>
      <c r="N71" s="448">
        <f>I71/C71</f>
        <v>0.8380676636877622</v>
      </c>
      <c r="O71" s="440">
        <f>I71/D71</f>
        <v>0.87289262478035812</v>
      </c>
      <c r="P71" s="440">
        <f>37741/D71</f>
        <v>0.89616279621978434</v>
      </c>
      <c r="AK71" s="392"/>
      <c r="AL71" s="392"/>
      <c r="AM71" s="392"/>
      <c r="AN71" s="392"/>
      <c r="AO71" s="392"/>
      <c r="AP71" s="392"/>
      <c r="AQ71" s="392"/>
    </row>
    <row r="72" spans="1:44" ht="13.5" thickBot="1" x14ac:dyDescent="0.25">
      <c r="A72" s="459" t="s">
        <v>133</v>
      </c>
      <c r="B72" s="460">
        <v>141884</v>
      </c>
      <c r="C72" s="461">
        <v>58491</v>
      </c>
      <c r="D72" s="461">
        <v>54964</v>
      </c>
      <c r="E72" s="462">
        <f>B72/C72</f>
        <v>2.4257407122463284</v>
      </c>
      <c r="F72" s="108">
        <v>124037</v>
      </c>
      <c r="G72" s="130">
        <f>F72/B72</f>
        <v>0.87421414676778209</v>
      </c>
      <c r="H72" s="108">
        <v>60493</v>
      </c>
      <c r="I72" s="461">
        <v>42860</v>
      </c>
      <c r="J72" s="463">
        <f>H72/I72</f>
        <v>1.4114092393840412</v>
      </c>
      <c r="K72" s="108">
        <v>42348</v>
      </c>
      <c r="L72" s="461">
        <v>40420</v>
      </c>
      <c r="M72" s="463">
        <f>K72/L72</f>
        <v>1.0476991588322613</v>
      </c>
      <c r="N72" s="464">
        <f>I72/C72</f>
        <v>0.73276230531192832</v>
      </c>
      <c r="O72" s="465">
        <f>I72/D72</f>
        <v>0.77978313077650829</v>
      </c>
      <c r="P72" s="465">
        <f>44344/D72</f>
        <v>0.80678262135215772</v>
      </c>
      <c r="R72" s="674"/>
      <c r="S72" s="674"/>
      <c r="T72" s="674"/>
      <c r="U72" s="674"/>
      <c r="V72" s="674"/>
      <c r="W72" s="674"/>
      <c r="X72" s="674"/>
      <c r="Y72" s="674"/>
      <c r="Z72" s="674"/>
      <c r="AA72" s="674"/>
      <c r="AB72" s="674"/>
      <c r="AC72" s="674"/>
      <c r="AD72" s="674"/>
      <c r="AE72" s="674"/>
      <c r="AF72" s="674"/>
      <c r="AG72" s="674"/>
      <c r="AH72" s="674"/>
      <c r="AI72" s="674"/>
      <c r="AJ72" s="674"/>
      <c r="AK72" s="674"/>
      <c r="AL72" s="674"/>
      <c r="AM72" s="674"/>
      <c r="AN72" s="674"/>
      <c r="AO72" s="674"/>
      <c r="AP72" s="674"/>
      <c r="AQ72" s="674"/>
      <c r="AR72" s="674"/>
    </row>
    <row r="73" spans="1:44" ht="14.25" thickTop="1" thickBot="1" x14ac:dyDescent="0.25">
      <c r="A73" s="280" t="s">
        <v>603</v>
      </c>
      <c r="B73" s="281"/>
      <c r="C73" s="281"/>
      <c r="D73" s="281"/>
      <c r="E73" s="281"/>
      <c r="F73" s="281"/>
      <c r="G73" s="281"/>
      <c r="H73" s="281"/>
      <c r="I73" s="281"/>
      <c r="J73" s="281"/>
      <c r="K73" s="281"/>
      <c r="L73" s="281"/>
      <c r="M73" s="281"/>
      <c r="N73" s="426"/>
      <c r="O73" s="426"/>
      <c r="P73" s="427"/>
      <c r="R73" s="674"/>
      <c r="S73" s="674"/>
      <c r="T73" s="674"/>
      <c r="U73" s="674"/>
      <c r="V73" s="674"/>
      <c r="W73" s="674"/>
      <c r="X73" s="674"/>
      <c r="Y73" s="674"/>
      <c r="Z73" s="674"/>
      <c r="AA73" s="674"/>
      <c r="AB73" s="674"/>
      <c r="AC73" s="674"/>
      <c r="AD73" s="674"/>
      <c r="AE73" s="674"/>
      <c r="AF73" s="674"/>
      <c r="AG73" s="674"/>
      <c r="AH73" s="674"/>
      <c r="AI73" s="674"/>
      <c r="AJ73" s="674"/>
      <c r="AK73" s="674"/>
      <c r="AL73" s="674"/>
      <c r="AM73" s="674"/>
      <c r="AN73" s="674"/>
      <c r="AO73" s="674"/>
      <c r="AP73" s="674"/>
      <c r="AQ73" s="674"/>
      <c r="AR73" s="674"/>
    </row>
    <row r="74" spans="1:44" x14ac:dyDescent="0.2">
      <c r="A74" s="253" t="s">
        <v>132</v>
      </c>
      <c r="B74" s="428">
        <v>88314</v>
      </c>
      <c r="C74" s="314">
        <v>43559</v>
      </c>
      <c r="D74" s="314">
        <v>41116</v>
      </c>
      <c r="E74" s="429">
        <f>B74/C74</f>
        <v>2.0274570123281066</v>
      </c>
      <c r="F74" s="447">
        <v>76128</v>
      </c>
      <c r="G74" s="323">
        <f>F74/B74</f>
        <v>0.86201508254636861</v>
      </c>
      <c r="H74" s="314">
        <v>46464</v>
      </c>
      <c r="I74" s="314">
        <v>35298</v>
      </c>
      <c r="J74" s="446">
        <f>H74/I74</f>
        <v>1.3163352031276561</v>
      </c>
      <c r="K74" s="447">
        <v>35249</v>
      </c>
      <c r="L74" s="314">
        <v>33850</v>
      </c>
      <c r="M74" s="446">
        <f>K74/L74</f>
        <v>1.0413293943870015</v>
      </c>
      <c r="N74" s="448">
        <f>I74/C74</f>
        <v>0.81034918156982483</v>
      </c>
      <c r="O74" s="440">
        <f>I74/D74</f>
        <v>0.85849790835684403</v>
      </c>
      <c r="P74" s="440">
        <f>38894/D74</f>
        <v>0.9459577779939683</v>
      </c>
      <c r="R74" s="674"/>
      <c r="S74" s="674"/>
      <c r="T74" s="674"/>
      <c r="U74" s="674"/>
      <c r="V74" s="674"/>
      <c r="W74" s="674"/>
      <c r="X74" s="674"/>
      <c r="Y74" s="674"/>
      <c r="Z74" s="674"/>
      <c r="AA74" s="674"/>
      <c r="AB74" s="674"/>
      <c r="AC74" s="674"/>
      <c r="AD74" s="674"/>
      <c r="AE74" s="674"/>
      <c r="AF74" s="674"/>
      <c r="AG74" s="674"/>
      <c r="AH74" s="674"/>
      <c r="AI74" s="674"/>
      <c r="AJ74" s="674"/>
      <c r="AK74" s="674"/>
      <c r="AL74" s="674"/>
      <c r="AM74" s="674"/>
      <c r="AN74" s="674"/>
      <c r="AO74" s="674"/>
      <c r="AP74" s="674"/>
      <c r="AQ74" s="674"/>
      <c r="AR74" s="674"/>
    </row>
    <row r="75" spans="1:44" ht="13.5" thickBot="1" x14ac:dyDescent="0.25">
      <c r="A75" s="459" t="s">
        <v>133</v>
      </c>
      <c r="B75" s="460">
        <v>141409</v>
      </c>
      <c r="C75" s="461">
        <v>57189</v>
      </c>
      <c r="D75" s="461">
        <v>52675</v>
      </c>
      <c r="E75" s="462">
        <f>B75/C75</f>
        <v>2.4726608263826959</v>
      </c>
      <c r="F75" s="108">
        <v>120743</v>
      </c>
      <c r="G75" s="130">
        <f>F75/B75</f>
        <v>0.85385654378434184</v>
      </c>
      <c r="H75" s="108">
        <v>56935</v>
      </c>
      <c r="I75" s="461">
        <v>40840</v>
      </c>
      <c r="J75" s="463">
        <f>H75/I75</f>
        <v>1.3940989226248777</v>
      </c>
      <c r="K75" s="108">
        <v>40891</v>
      </c>
      <c r="L75" s="461">
        <v>38863</v>
      </c>
      <c r="M75" s="463">
        <f>K75/L75</f>
        <v>1.0521833106039162</v>
      </c>
      <c r="N75" s="464">
        <f>I75/C75</f>
        <v>0.71412334539859068</v>
      </c>
      <c r="O75" s="465">
        <f>I75/D75</f>
        <v>0.7753203607024205</v>
      </c>
      <c r="P75" s="465">
        <f>49144/D75</f>
        <v>0.93296630280018988</v>
      </c>
      <c r="R75" s="674"/>
      <c r="S75" s="674"/>
      <c r="T75" s="674"/>
      <c r="U75" s="674"/>
      <c r="V75" s="674"/>
      <c r="W75" s="674"/>
      <c r="X75" s="674"/>
      <c r="Y75" s="674"/>
      <c r="Z75" s="674"/>
      <c r="AA75" s="674"/>
      <c r="AB75" s="674"/>
      <c r="AC75" s="674"/>
      <c r="AD75" s="674"/>
      <c r="AE75" s="674"/>
      <c r="AF75" s="674"/>
      <c r="AG75" s="674"/>
      <c r="AH75" s="674"/>
      <c r="AI75" s="674"/>
      <c r="AJ75" s="674"/>
      <c r="AK75" s="674"/>
      <c r="AL75" s="674"/>
      <c r="AM75" s="674"/>
      <c r="AN75" s="674"/>
      <c r="AO75" s="674"/>
      <c r="AP75" s="674"/>
      <c r="AQ75" s="674"/>
      <c r="AR75" s="674"/>
    </row>
    <row r="76" spans="1:44" ht="14.25" thickTop="1" thickBot="1" x14ac:dyDescent="0.25">
      <c r="A76" s="280" t="s">
        <v>606</v>
      </c>
      <c r="B76" s="281"/>
      <c r="C76" s="281"/>
      <c r="D76" s="281"/>
      <c r="E76" s="281"/>
      <c r="F76" s="281"/>
      <c r="G76" s="281"/>
      <c r="H76" s="281"/>
      <c r="I76" s="281"/>
      <c r="J76" s="281"/>
      <c r="K76" s="281"/>
      <c r="L76" s="281"/>
      <c r="M76" s="281"/>
      <c r="N76" s="426"/>
      <c r="O76" s="426"/>
      <c r="P76" s="427"/>
      <c r="AK76" s="392"/>
      <c r="AL76" s="392"/>
      <c r="AM76" s="392"/>
      <c r="AN76" s="392"/>
      <c r="AO76" s="392"/>
      <c r="AP76" s="392"/>
      <c r="AQ76" s="392"/>
      <c r="AR76" s="674"/>
    </row>
    <row r="77" spans="1:44" x14ac:dyDescent="0.2">
      <c r="A77" s="253" t="s">
        <v>132</v>
      </c>
      <c r="B77" s="428">
        <v>93605</v>
      </c>
      <c r="C77" s="314">
        <v>44808</v>
      </c>
      <c r="D77" s="314">
        <v>42411</v>
      </c>
      <c r="E77" s="429">
        <f>B77/C77</f>
        <v>2.0890242813783253</v>
      </c>
      <c r="F77" s="447">
        <v>81197</v>
      </c>
      <c r="G77" s="323">
        <f>F77/B77</f>
        <v>0.86744297847337215</v>
      </c>
      <c r="H77" s="314">
        <v>48150</v>
      </c>
      <c r="I77" s="314">
        <v>36108</v>
      </c>
      <c r="J77" s="446">
        <f>H77/I77</f>
        <v>1.3334995014955136</v>
      </c>
      <c r="K77" s="447">
        <v>35959</v>
      </c>
      <c r="L77" s="314">
        <v>34567</v>
      </c>
      <c r="M77" s="446">
        <f>K77/L77</f>
        <v>1.0402696213151272</v>
      </c>
      <c r="N77" s="448">
        <f>I77/C77</f>
        <v>0.80583824317086239</v>
      </c>
      <c r="O77" s="440">
        <f>I77/D77</f>
        <v>0.85138289594680627</v>
      </c>
      <c r="P77" s="440">
        <f>37646/D77</f>
        <v>0.88764707269340504</v>
      </c>
      <c r="AK77" s="392"/>
      <c r="AL77" s="392"/>
      <c r="AM77" s="392"/>
      <c r="AN77" s="392"/>
      <c r="AO77" s="392"/>
      <c r="AP77" s="392"/>
      <c r="AQ77" s="392"/>
      <c r="AR77" s="674"/>
    </row>
    <row r="78" spans="1:44" ht="13.5" thickBot="1" x14ac:dyDescent="0.25">
      <c r="A78" s="459" t="s">
        <v>133</v>
      </c>
      <c r="B78" s="460">
        <v>153590</v>
      </c>
      <c r="C78" s="461">
        <v>59912</v>
      </c>
      <c r="D78" s="461">
        <v>55367</v>
      </c>
      <c r="E78" s="462">
        <f>B78/C78</f>
        <v>2.5635932701295232</v>
      </c>
      <c r="F78" s="108">
        <v>131598</v>
      </c>
      <c r="G78" s="130">
        <f>F78/B78</f>
        <v>0.85681359463506734</v>
      </c>
      <c r="H78" s="108">
        <v>59703</v>
      </c>
      <c r="I78" s="461">
        <v>42642</v>
      </c>
      <c r="J78" s="463">
        <f>H78/I78</f>
        <v>1.4000984944420993</v>
      </c>
      <c r="K78" s="108">
        <v>42678</v>
      </c>
      <c r="L78" s="461">
        <v>40648</v>
      </c>
      <c r="M78" s="463">
        <f>K78/L78</f>
        <v>1.0499409565046252</v>
      </c>
      <c r="N78" s="464">
        <f>I78/C78</f>
        <v>0.71174389104019231</v>
      </c>
      <c r="O78" s="465">
        <f>I78/D78</f>
        <v>0.77016995683349287</v>
      </c>
      <c r="P78" s="465">
        <f>44399/D78</f>
        <v>0.80190366102552058</v>
      </c>
      <c r="AK78" s="392"/>
      <c r="AL78" s="392"/>
      <c r="AM78" s="392"/>
      <c r="AN78" s="392"/>
      <c r="AO78" s="392"/>
      <c r="AP78" s="392"/>
      <c r="AQ78" s="392"/>
      <c r="AR78" s="674"/>
    </row>
    <row r="79" spans="1:44" ht="14.25" thickTop="1" thickBot="1" x14ac:dyDescent="0.25">
      <c r="A79" s="280" t="s">
        <v>611</v>
      </c>
      <c r="B79" s="281"/>
      <c r="C79" s="281"/>
      <c r="D79" s="281"/>
      <c r="E79" s="281"/>
      <c r="F79" s="281"/>
      <c r="G79" s="281"/>
      <c r="H79" s="281"/>
      <c r="I79" s="281"/>
      <c r="J79" s="281"/>
      <c r="K79" s="281"/>
      <c r="L79" s="281"/>
      <c r="M79" s="281"/>
      <c r="N79" s="426"/>
      <c r="O79" s="426"/>
      <c r="P79" s="427"/>
      <c r="AK79" s="392"/>
      <c r="AL79" s="392"/>
      <c r="AM79" s="392"/>
      <c r="AN79" s="392"/>
      <c r="AO79" s="392"/>
      <c r="AP79" s="392"/>
      <c r="AQ79" s="392"/>
      <c r="AR79" s="674"/>
    </row>
    <row r="80" spans="1:44" x14ac:dyDescent="0.2">
      <c r="A80" s="253" t="s">
        <v>132</v>
      </c>
      <c r="B80" s="428">
        <v>95347</v>
      </c>
      <c r="C80" s="314">
        <v>45281</v>
      </c>
      <c r="D80" s="314">
        <v>42836</v>
      </c>
      <c r="E80" s="429">
        <f>B80/C80</f>
        <v>2.1056734612751487</v>
      </c>
      <c r="F80" s="447">
        <v>82880</v>
      </c>
      <c r="G80" s="323">
        <f>F80/B80</f>
        <v>0.86924601717935546</v>
      </c>
      <c r="H80" s="314">
        <v>50068</v>
      </c>
      <c r="I80" s="314">
        <v>37016</v>
      </c>
      <c r="J80" s="446">
        <f>H80/I80</f>
        <v>1.352604279230603</v>
      </c>
      <c r="K80" s="447">
        <v>36972</v>
      </c>
      <c r="L80" s="314">
        <v>35485</v>
      </c>
      <c r="M80" s="446">
        <f>K80/L80</f>
        <v>1.0419050302944906</v>
      </c>
      <c r="N80" s="448">
        <f>I80/C80</f>
        <v>0.8174731123429253</v>
      </c>
      <c r="O80" s="440">
        <f>I80/D80</f>
        <v>0.86413297226631802</v>
      </c>
      <c r="P80" s="440">
        <f>39032/D80</f>
        <v>0.91119619012045938</v>
      </c>
      <c r="AK80" s="392"/>
      <c r="AL80" s="392"/>
      <c r="AM80" s="392"/>
      <c r="AN80" s="392"/>
      <c r="AO80" s="392"/>
      <c r="AP80" s="392"/>
      <c r="AQ80" s="392"/>
      <c r="AR80" s="392"/>
    </row>
    <row r="81" spans="1:46" ht="13.5" thickBot="1" x14ac:dyDescent="0.25">
      <c r="A81" s="459" t="s">
        <v>133</v>
      </c>
      <c r="B81" s="460">
        <v>160640</v>
      </c>
      <c r="C81" s="461">
        <v>61859</v>
      </c>
      <c r="D81" s="461">
        <v>57356</v>
      </c>
      <c r="E81" s="462">
        <f>B81/C81</f>
        <v>2.5968735349747005</v>
      </c>
      <c r="F81" s="108">
        <v>137745</v>
      </c>
      <c r="G81" s="130">
        <f>F81/B81</f>
        <v>0.8574763446215139</v>
      </c>
      <c r="H81" s="108">
        <v>63305</v>
      </c>
      <c r="I81" s="461">
        <v>44412</v>
      </c>
      <c r="J81" s="463">
        <f>H81/I81</f>
        <v>1.4254030442222823</v>
      </c>
      <c r="K81" s="108">
        <v>44359</v>
      </c>
      <c r="L81" s="461">
        <v>42186</v>
      </c>
      <c r="M81" s="463">
        <f>K81/L81</f>
        <v>1.0515099796140899</v>
      </c>
      <c r="N81" s="464">
        <f>I81/C81</f>
        <v>0.71795535007032119</v>
      </c>
      <c r="O81" s="465">
        <f>I81/D81</f>
        <v>0.77432177976148964</v>
      </c>
      <c r="P81" s="465">
        <f>47434/D81</f>
        <v>0.82701025176093168</v>
      </c>
      <c r="AK81" s="392"/>
      <c r="AL81" s="392"/>
      <c r="AM81" s="392"/>
      <c r="AN81" s="392"/>
      <c r="AO81" s="392"/>
      <c r="AP81" s="392"/>
      <c r="AQ81" s="392"/>
      <c r="AR81" s="392"/>
    </row>
    <row r="82" spans="1:46" ht="14.25" thickTop="1" thickBot="1" x14ac:dyDescent="0.25">
      <c r="A82" s="280" t="s">
        <v>618</v>
      </c>
      <c r="B82" s="281"/>
      <c r="C82" s="281"/>
      <c r="D82" s="281"/>
      <c r="E82" s="281"/>
      <c r="F82" s="281"/>
      <c r="G82" s="281"/>
      <c r="H82" s="281"/>
      <c r="I82" s="281"/>
      <c r="J82" s="281"/>
      <c r="K82" s="281"/>
      <c r="L82" s="281"/>
      <c r="M82" s="281"/>
      <c r="N82" s="426"/>
      <c r="O82" s="426"/>
      <c r="P82" s="427"/>
      <c r="AK82" s="392"/>
      <c r="AL82" s="392"/>
      <c r="AM82" s="392"/>
      <c r="AN82" s="392"/>
      <c r="AO82" s="392"/>
      <c r="AP82" s="392"/>
      <c r="AQ82" s="392"/>
      <c r="AR82" s="392"/>
      <c r="AS82" s="392"/>
      <c r="AT82" s="392"/>
    </row>
    <row r="83" spans="1:46" x14ac:dyDescent="0.2">
      <c r="A83" s="253" t="s">
        <v>132</v>
      </c>
      <c r="B83" s="428">
        <v>101861</v>
      </c>
      <c r="C83" s="314">
        <v>47422</v>
      </c>
      <c r="D83" s="314">
        <v>45034</v>
      </c>
      <c r="E83" s="429">
        <f>B83/C83</f>
        <v>2.1479692969507824</v>
      </c>
      <c r="F83" s="447">
        <v>88577</v>
      </c>
      <c r="G83" s="323">
        <f>F83/B83</f>
        <v>0.86958698618705887</v>
      </c>
      <c r="H83" s="314">
        <v>54077</v>
      </c>
      <c r="I83" s="314">
        <v>39181</v>
      </c>
      <c r="J83" s="446">
        <f>H83/I83</f>
        <v>1.3801842729894591</v>
      </c>
      <c r="K83" s="447">
        <v>39269</v>
      </c>
      <c r="L83" s="314">
        <v>37537</v>
      </c>
      <c r="M83" s="446">
        <f>K83/L83</f>
        <v>1.0461411407411354</v>
      </c>
      <c r="N83" s="448">
        <f>I83/C83</f>
        <v>0.82621989793766604</v>
      </c>
      <c r="O83" s="440">
        <f>I83/D83</f>
        <v>0.87003153173158054</v>
      </c>
      <c r="P83" s="440">
        <f>40528/D83</f>
        <v>0.89994226584358483</v>
      </c>
      <c r="AK83" s="392"/>
      <c r="AL83" s="392"/>
      <c r="AM83" s="392"/>
      <c r="AN83" s="392"/>
      <c r="AO83" s="392"/>
      <c r="AP83" s="392"/>
      <c r="AQ83" s="392"/>
      <c r="AR83" s="392"/>
      <c r="AS83" s="392"/>
      <c r="AT83" s="392"/>
    </row>
    <row r="84" spans="1:46" ht="13.5" thickBot="1" x14ac:dyDescent="0.25">
      <c r="A84" s="459" t="s">
        <v>133</v>
      </c>
      <c r="B84" s="460">
        <v>169259</v>
      </c>
      <c r="C84" s="461">
        <v>63935</v>
      </c>
      <c r="D84" s="461">
        <v>59618</v>
      </c>
      <c r="E84" s="462">
        <f>B84/C84</f>
        <v>2.6473606006099946</v>
      </c>
      <c r="F84" s="108">
        <v>145110</v>
      </c>
      <c r="G84" s="130">
        <f>F84/B84</f>
        <v>0.85732516439303075</v>
      </c>
      <c r="H84" s="108">
        <v>68698</v>
      </c>
      <c r="I84" s="461">
        <v>47100</v>
      </c>
      <c r="J84" s="463">
        <f>H84/I84</f>
        <v>1.4585562632696392</v>
      </c>
      <c r="K84" s="108">
        <v>47443</v>
      </c>
      <c r="L84" s="461">
        <v>44786</v>
      </c>
      <c r="M84" s="463">
        <f>K84/L84</f>
        <v>1.0593265752690573</v>
      </c>
      <c r="N84" s="464">
        <f>I84/C84</f>
        <v>0.73668569641041681</v>
      </c>
      <c r="O84" s="465">
        <f>I84/D84</f>
        <v>0.79002985675467141</v>
      </c>
      <c r="P84" s="465">
        <f>48958/D84</f>
        <v>0.82119494112516356</v>
      </c>
      <c r="AK84" s="392"/>
      <c r="AL84" s="392"/>
      <c r="AM84" s="392"/>
      <c r="AN84" s="392"/>
      <c r="AO84" s="392"/>
      <c r="AP84" s="392"/>
      <c r="AQ84" s="392"/>
      <c r="AR84" s="392"/>
      <c r="AS84" s="392"/>
      <c r="AT84" s="392"/>
    </row>
    <row r="85" spans="1:46" ht="13.5" thickTop="1" x14ac:dyDescent="0.2">
      <c r="A85" s="6" t="s">
        <v>55</v>
      </c>
      <c r="F85" s="37"/>
      <c r="H85" s="37"/>
      <c r="I85" s="37"/>
      <c r="J85" s="37"/>
      <c r="K85" s="37"/>
      <c r="L85" s="37"/>
      <c r="M85" s="6" t="s">
        <v>54</v>
      </c>
      <c r="O85" s="466"/>
      <c r="S85" s="397" t="s">
        <v>25</v>
      </c>
      <c r="T85" s="409" t="s">
        <v>5</v>
      </c>
      <c r="U85" s="409" t="s">
        <v>6</v>
      </c>
      <c r="V85" s="409" t="s">
        <v>7</v>
      </c>
      <c r="W85" s="409" t="s">
        <v>8</v>
      </c>
      <c r="X85" s="409" t="s">
        <v>9</v>
      </c>
      <c r="Y85" s="409" t="s">
        <v>10</v>
      </c>
      <c r="Z85" s="409" t="s">
        <v>11</v>
      </c>
      <c r="AA85" s="409" t="s">
        <v>12</v>
      </c>
      <c r="AB85" s="409" t="s">
        <v>13</v>
      </c>
      <c r="AC85" s="410" t="s">
        <v>14</v>
      </c>
      <c r="AD85" s="410" t="s">
        <v>15</v>
      </c>
      <c r="AE85" s="392" t="s">
        <v>16</v>
      </c>
      <c r="AF85" s="392" t="s">
        <v>17</v>
      </c>
      <c r="AG85" s="392" t="s">
        <v>35</v>
      </c>
      <c r="AH85" s="392" t="s">
        <v>542</v>
      </c>
      <c r="AI85" s="392" t="s">
        <v>544</v>
      </c>
      <c r="AJ85" s="392" t="s">
        <v>551</v>
      </c>
      <c r="AK85" s="392" t="s">
        <v>561</v>
      </c>
      <c r="AL85" s="392" t="s">
        <v>586</v>
      </c>
      <c r="AM85" s="392" t="s">
        <v>590</v>
      </c>
      <c r="AN85" s="392" t="s">
        <v>593</v>
      </c>
      <c r="AO85" s="392" t="s">
        <v>596</v>
      </c>
      <c r="AP85" s="392" t="s">
        <v>603</v>
      </c>
      <c r="AQ85" s="392" t="s">
        <v>606</v>
      </c>
      <c r="AR85" s="392" t="s">
        <v>611</v>
      </c>
      <c r="AS85" s="392" t="s">
        <v>618</v>
      </c>
      <c r="AT85" s="392"/>
    </row>
    <row r="86" spans="1:46" x14ac:dyDescent="0.2">
      <c r="F86" s="26"/>
      <c r="G86" s="26"/>
      <c r="I86" s="26"/>
      <c r="J86" s="26"/>
      <c r="K86" s="26"/>
      <c r="L86" s="26"/>
      <c r="R86" s="392" t="s">
        <v>137</v>
      </c>
      <c r="S86" s="467">
        <v>2.1224218366344738</v>
      </c>
      <c r="T86" s="467">
        <v>1.8998944033790919</v>
      </c>
      <c r="U86" s="467">
        <v>2.1545983798454431</v>
      </c>
      <c r="V86" s="467">
        <v>2.0286271958360445</v>
      </c>
      <c r="W86" s="467">
        <v>1.9887057718023782</v>
      </c>
      <c r="X86" s="467">
        <v>2.0233468355295767</v>
      </c>
      <c r="Y86" s="467">
        <v>2.0857823669579032</v>
      </c>
      <c r="Z86" s="468">
        <v>2.0214112828151181</v>
      </c>
      <c r="AA86" s="468">
        <v>2.0135310296860673</v>
      </c>
      <c r="AB86" s="468">
        <v>1.9522730847884222</v>
      </c>
      <c r="AC86" s="468">
        <v>1.9832375855827498</v>
      </c>
      <c r="AD86" s="467">
        <f>+E38</f>
        <v>1.9638503127318987</v>
      </c>
      <c r="AE86" s="467">
        <f>+E41</f>
        <v>1.9912978733305413</v>
      </c>
      <c r="AF86" s="467">
        <f>+E44</f>
        <v>1.9652480400553396</v>
      </c>
      <c r="AG86" s="467">
        <f>E47</f>
        <v>1.9562756400270032</v>
      </c>
      <c r="AH86" s="467">
        <f>+E50</f>
        <v>1.9332474573664276</v>
      </c>
      <c r="AI86" s="467">
        <f>+E53</f>
        <v>1.9347356733082475</v>
      </c>
      <c r="AJ86" s="467">
        <f>E56</f>
        <v>1.9454761415290436</v>
      </c>
      <c r="AK86" s="467">
        <f>E59</f>
        <v>1.9237509498480243</v>
      </c>
      <c r="AL86" s="467">
        <f>E62</f>
        <v>1.9043907634216004</v>
      </c>
      <c r="AM86" s="467">
        <f>E65</f>
        <v>1.918587463624186</v>
      </c>
      <c r="AN86" s="467">
        <f>E68</f>
        <v>1.8832404293545861</v>
      </c>
      <c r="AO86" s="467">
        <f>E71</f>
        <v>1.9729846799197519</v>
      </c>
      <c r="AP86" s="467">
        <f>E74</f>
        <v>2.0274570123281066</v>
      </c>
      <c r="AQ86" s="467">
        <f>E77</f>
        <v>2.0890242813783253</v>
      </c>
      <c r="AR86" s="467">
        <f>E80</f>
        <v>2.1056734612751487</v>
      </c>
      <c r="AS86" s="467">
        <f>E83</f>
        <v>2.1479692969507824</v>
      </c>
      <c r="AT86" s="392"/>
    </row>
    <row r="87" spans="1:46" x14ac:dyDescent="0.2">
      <c r="A87" s="9" t="s">
        <v>39</v>
      </c>
      <c r="F87" s="26"/>
      <c r="R87" s="392" t="s">
        <v>138</v>
      </c>
      <c r="S87" s="467">
        <v>2.300022988912271</v>
      </c>
      <c r="T87" s="467">
        <v>2.107121836374338</v>
      </c>
      <c r="U87" s="467">
        <v>2.3520056422463194</v>
      </c>
      <c r="V87" s="467">
        <v>2.2559399893329664</v>
      </c>
      <c r="W87" s="467">
        <v>2.3022055750249173</v>
      </c>
      <c r="X87" s="467">
        <v>2.3185652246534159</v>
      </c>
      <c r="Y87" s="467">
        <v>2.3770379245816451</v>
      </c>
      <c r="Z87" s="468">
        <v>2.3345692336994475</v>
      </c>
      <c r="AA87" s="468">
        <v>2.3494936436112908</v>
      </c>
      <c r="AB87" s="468">
        <v>2.341234266862696</v>
      </c>
      <c r="AC87" s="468">
        <v>2.3882289221881208</v>
      </c>
      <c r="AD87" s="467">
        <f>+E39</f>
        <v>2.3857161441394563</v>
      </c>
      <c r="AE87" s="467">
        <f>+E42</f>
        <v>2.3687548446198297</v>
      </c>
      <c r="AF87" s="467">
        <f>+E45</f>
        <v>2.3665388732604744</v>
      </c>
      <c r="AG87" s="467">
        <f>E48</f>
        <v>2.3256935909839709</v>
      </c>
      <c r="AH87" s="467">
        <f>+E51</f>
        <v>2.2918936743705913</v>
      </c>
      <c r="AI87" s="467">
        <f>+E54</f>
        <v>2.3200589512876202</v>
      </c>
      <c r="AJ87" s="467">
        <f>E57</f>
        <v>2.3541144174066293</v>
      </c>
      <c r="AK87" s="467">
        <f>E60</f>
        <v>2.3669076333965573</v>
      </c>
      <c r="AL87" s="467">
        <f>E63</f>
        <v>2.3287813759916762</v>
      </c>
      <c r="AM87" s="467">
        <f>E66</f>
        <v>2.3405132320487332</v>
      </c>
      <c r="AN87" s="467">
        <f>E69</f>
        <v>2.3373967612796189</v>
      </c>
      <c r="AO87" s="467">
        <f>E72</f>
        <v>2.4257407122463284</v>
      </c>
      <c r="AP87" s="467">
        <f>E75</f>
        <v>2.4726608263826959</v>
      </c>
      <c r="AQ87" s="467">
        <f>E78</f>
        <v>2.5635932701295232</v>
      </c>
      <c r="AR87" s="467">
        <f>E81</f>
        <v>2.5968735349747005</v>
      </c>
      <c r="AS87" s="467">
        <f>E84</f>
        <v>2.6473606006099946</v>
      </c>
      <c r="AT87" s="392"/>
    </row>
    <row r="88" spans="1:46" x14ac:dyDescent="0.2">
      <c r="M88" s="6" t="s">
        <v>136</v>
      </c>
      <c r="S88" s="397"/>
      <c r="T88" s="409"/>
      <c r="U88" s="409"/>
      <c r="V88" s="409"/>
      <c r="W88" s="409"/>
      <c r="X88" s="409"/>
      <c r="Y88" s="409"/>
      <c r="Z88" s="409"/>
      <c r="AA88" s="409"/>
      <c r="AB88" s="409"/>
      <c r="AC88" s="410"/>
      <c r="AD88" s="410"/>
      <c r="AK88" s="392"/>
      <c r="AL88" s="392"/>
      <c r="AM88" s="392"/>
      <c r="AN88" s="392"/>
      <c r="AO88" s="392"/>
      <c r="AP88" s="392"/>
      <c r="AQ88" s="392"/>
      <c r="AR88" s="392"/>
      <c r="AS88" s="392"/>
      <c r="AT88" s="392"/>
    </row>
    <row r="89" spans="1:46" x14ac:dyDescent="0.2">
      <c r="AO89" s="392"/>
      <c r="AP89" s="392"/>
      <c r="AQ89" s="392"/>
      <c r="AR89" s="392"/>
      <c r="AS89" s="392"/>
      <c r="AT89" s="392"/>
    </row>
    <row r="90" spans="1:46" x14ac:dyDescent="0.2">
      <c r="AO90" s="392"/>
      <c r="AP90" s="392"/>
      <c r="AQ90" s="392"/>
      <c r="AR90" s="392"/>
      <c r="AS90" s="392"/>
      <c r="AT90" s="392"/>
    </row>
    <row r="91" spans="1:46" x14ac:dyDescent="0.2">
      <c r="AO91" s="392"/>
      <c r="AP91" s="392"/>
      <c r="AQ91" s="392"/>
      <c r="AR91" s="392"/>
      <c r="AS91" s="392"/>
      <c r="AT91" s="392"/>
    </row>
    <row r="92" spans="1:46" x14ac:dyDescent="0.2">
      <c r="AO92" s="392"/>
      <c r="AP92" s="392"/>
      <c r="AQ92" s="392"/>
      <c r="AR92" s="392"/>
      <c r="AS92" s="392"/>
      <c r="AT92" s="392"/>
    </row>
    <row r="93" spans="1:46" x14ac:dyDescent="0.2">
      <c r="AO93" s="392"/>
      <c r="AP93" s="392"/>
      <c r="AQ93" s="392"/>
      <c r="AR93" s="392"/>
      <c r="AS93" s="392"/>
      <c r="AT93" s="392"/>
    </row>
    <row r="94" spans="1:46" x14ac:dyDescent="0.2">
      <c r="AO94" s="392"/>
      <c r="AP94" s="392"/>
      <c r="AQ94" s="392"/>
      <c r="AR94" s="392"/>
      <c r="AS94" s="392"/>
      <c r="AT94" s="392"/>
    </row>
    <row r="95" spans="1:46" x14ac:dyDescent="0.2">
      <c r="AO95" s="392"/>
      <c r="AP95" s="392"/>
      <c r="AQ95" s="392"/>
      <c r="AR95" s="392"/>
      <c r="AS95" s="392"/>
      <c r="AT95" s="392"/>
    </row>
    <row r="96" spans="1:46" x14ac:dyDescent="0.2">
      <c r="AO96" s="392"/>
      <c r="AP96" s="392"/>
      <c r="AQ96" s="392"/>
      <c r="AR96" s="392"/>
      <c r="AS96" s="392"/>
      <c r="AT96" s="392"/>
    </row>
    <row r="97" spans="41:46" x14ac:dyDescent="0.2">
      <c r="AO97" s="392"/>
      <c r="AP97" s="392"/>
      <c r="AQ97" s="392"/>
      <c r="AR97" s="392"/>
      <c r="AS97" s="392"/>
      <c r="AT97" s="392"/>
    </row>
  </sheetData>
  <mergeCells count="1">
    <mergeCell ref="P68:P7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B255"/>
  <sheetViews>
    <sheetView workbookViewId="0">
      <pane xSplit="3" topLeftCell="DI1" activePane="topRight" state="frozen"/>
      <selection pane="topRight" activeCell="C17" sqref="C17"/>
    </sheetView>
  </sheetViews>
  <sheetFormatPr defaultRowHeight="12.75" x14ac:dyDescent="0.2"/>
  <cols>
    <col min="1" max="1" width="40.28515625" style="6" customWidth="1"/>
    <col min="2" max="2" width="5.85546875" style="596" customWidth="1"/>
    <col min="3" max="3" width="40.28515625" style="6" customWidth="1"/>
    <col min="4" max="4" width="7.5703125" style="6" customWidth="1"/>
    <col min="5" max="5" width="7.140625" style="6" customWidth="1"/>
    <col min="6" max="6" width="10.28515625" style="6" customWidth="1"/>
    <col min="7" max="7" width="7.42578125" style="6" customWidth="1"/>
    <col min="8" max="8" width="6.7109375" style="6" customWidth="1"/>
    <col min="9" max="9" width="9.140625" style="6" customWidth="1"/>
    <col min="10" max="10" width="7.140625" style="6" customWidth="1"/>
    <col min="11" max="11" width="8" style="470" customWidth="1"/>
    <col min="12" max="12" width="7" style="6" customWidth="1"/>
    <col min="13" max="13" width="10" style="6" customWidth="1"/>
    <col min="14" max="14" width="6.85546875" style="6" customWidth="1"/>
    <col min="15" max="15" width="7.140625" style="6" customWidth="1"/>
    <col min="16" max="16" width="9.140625" style="6"/>
    <col min="17" max="17" width="7" style="6" customWidth="1"/>
    <col min="18" max="18" width="8" style="470" customWidth="1"/>
    <col min="19" max="19" width="7" style="6" customWidth="1"/>
    <col min="20" max="20" width="10" style="6" customWidth="1"/>
    <col min="21" max="21" width="6.85546875" style="6" customWidth="1"/>
    <col min="22" max="22" width="7.140625" style="6" customWidth="1"/>
    <col min="23" max="24" width="8.85546875" style="6" customWidth="1"/>
    <col min="25" max="25" width="8" style="470" customWidth="1"/>
    <col min="26" max="26" width="7" style="6" customWidth="1"/>
    <col min="27" max="27" width="10" style="6" customWidth="1"/>
    <col min="28" max="28" width="6.85546875" style="6" customWidth="1"/>
    <col min="29" max="29" width="7.140625" style="6" customWidth="1"/>
    <col min="30" max="31" width="8.85546875" style="6" customWidth="1"/>
    <col min="32" max="32" width="8" style="470" customWidth="1"/>
    <col min="33" max="33" width="7" style="6" customWidth="1"/>
    <col min="34" max="34" width="10" style="6" customWidth="1"/>
    <col min="35" max="35" width="6.85546875" style="6" customWidth="1"/>
    <col min="36" max="36" width="7.140625" style="6" customWidth="1"/>
    <col min="37" max="38" width="8.85546875" style="6" customWidth="1"/>
    <col min="39" max="39" width="8" style="6" customWidth="1"/>
    <col min="40" max="40" width="7" style="6" customWidth="1"/>
    <col min="41" max="41" width="10" style="6" customWidth="1"/>
    <col min="42" max="42" width="6.85546875" style="6" customWidth="1"/>
    <col min="43" max="43" width="7.140625" style="6" customWidth="1"/>
    <col min="44" max="45" width="8.85546875" style="6" customWidth="1"/>
    <col min="46" max="46" width="8" style="6" customWidth="1"/>
    <col min="47" max="47" width="7" style="6" customWidth="1"/>
    <col min="48" max="48" width="10" style="6" customWidth="1"/>
    <col min="49" max="49" width="6.85546875" style="6" customWidth="1"/>
    <col min="50" max="50" width="7.140625" style="6" customWidth="1"/>
    <col min="51" max="52" width="8.85546875" style="6" customWidth="1"/>
    <col min="53" max="53" width="8" style="6" customWidth="1"/>
    <col min="54" max="54" width="7" style="6" customWidth="1"/>
    <col min="55" max="55" width="10" style="6" customWidth="1"/>
    <col min="56" max="56" width="6.85546875" style="6" customWidth="1"/>
    <col min="57" max="57" width="7.140625" style="6" customWidth="1"/>
    <col min="58" max="59" width="8.85546875" style="6" customWidth="1"/>
    <col min="60" max="60" width="8" style="6" customWidth="1"/>
    <col min="61" max="61" width="7" style="6" customWidth="1"/>
    <col min="62" max="62" width="10" style="6" customWidth="1"/>
    <col min="63" max="63" width="6.85546875" style="6" customWidth="1"/>
    <col min="64" max="64" width="7.140625" style="6" customWidth="1"/>
    <col min="65" max="66" width="8.85546875" style="6" customWidth="1"/>
    <col min="67" max="67" width="8" style="6" customWidth="1"/>
    <col min="68" max="68" width="7" style="6" customWidth="1"/>
    <col min="69" max="69" width="10" style="6" customWidth="1"/>
    <col min="70" max="70" width="6.85546875" style="6" customWidth="1"/>
    <col min="71" max="71" width="7.140625" style="6" customWidth="1"/>
    <col min="72" max="73" width="8.85546875" style="6" customWidth="1"/>
    <col min="74" max="74" width="8" style="6" customWidth="1"/>
    <col min="75" max="75" width="7" style="6" customWidth="1"/>
    <col min="76" max="76" width="10" style="6" customWidth="1"/>
    <col min="77" max="77" width="6.85546875" style="6" customWidth="1"/>
    <col min="78" max="78" width="7.140625" style="6" customWidth="1"/>
    <col min="79" max="80" width="8.85546875" style="6" customWidth="1"/>
    <col min="81" max="81" width="8" style="6" customWidth="1"/>
    <col min="82" max="82" width="7" style="6" customWidth="1"/>
    <col min="83" max="83" width="10" style="6" customWidth="1"/>
    <col min="84" max="84" width="6.85546875" style="6" customWidth="1"/>
    <col min="85" max="85" width="7.140625" style="6" customWidth="1"/>
    <col min="86" max="87" width="8.85546875" style="6" customWidth="1"/>
    <col min="88" max="88" width="8" style="6" customWidth="1"/>
    <col min="89" max="89" width="7" style="6" customWidth="1"/>
    <col min="90" max="90" width="10" style="6" customWidth="1"/>
    <col min="91" max="91" width="6.85546875" style="6" customWidth="1"/>
    <col min="92" max="92" width="7.140625" style="6" customWidth="1"/>
    <col min="93" max="94" width="8.85546875" style="6" customWidth="1"/>
    <col min="95" max="95" width="12.7109375" style="6" customWidth="1"/>
    <col min="96" max="96" width="9.140625" style="6"/>
    <col min="97" max="97" width="8" style="6" customWidth="1"/>
    <col min="98" max="98" width="7" style="6" customWidth="1"/>
    <col min="99" max="99" width="10" style="6" customWidth="1"/>
    <col min="100" max="100" width="6.85546875" style="6" customWidth="1"/>
    <col min="101" max="101" width="7.140625" style="6" customWidth="1"/>
    <col min="102" max="103" width="8.85546875" style="6" customWidth="1"/>
    <col min="104" max="104" width="12.7109375" style="6" customWidth="1"/>
    <col min="105" max="206" width="9.140625" style="6"/>
    <col min="207" max="207" width="40.28515625" style="6" customWidth="1"/>
    <col min="208" max="208" width="5.85546875" style="6" customWidth="1"/>
    <col min="209" max="209" width="40.28515625" style="6" customWidth="1"/>
    <col min="210" max="216" width="0" style="6" hidden="1" customWidth="1"/>
    <col min="217" max="217" width="8" style="6" customWidth="1"/>
    <col min="218" max="218" width="7" style="6" customWidth="1"/>
    <col min="219" max="219" width="10" style="6" customWidth="1"/>
    <col min="220" max="220" width="6.85546875" style="6" customWidth="1"/>
    <col min="221" max="221" width="7.140625" style="6" customWidth="1"/>
    <col min="222" max="222" width="9.140625" style="6"/>
    <col min="223" max="223" width="7" style="6" customWidth="1"/>
    <col min="224" max="224" width="8" style="6" customWidth="1"/>
    <col min="225" max="225" width="7" style="6" customWidth="1"/>
    <col min="226" max="226" width="10" style="6" customWidth="1"/>
    <col min="227" max="227" width="6.85546875" style="6" customWidth="1"/>
    <col min="228" max="228" width="7.140625" style="6" customWidth="1"/>
    <col min="229" max="230" width="8.85546875" style="6" customWidth="1"/>
    <col min="231" max="231" width="8" style="6" customWidth="1"/>
    <col min="232" max="232" width="7" style="6" customWidth="1"/>
    <col min="233" max="233" width="10" style="6" customWidth="1"/>
    <col min="234" max="234" width="6.85546875" style="6" customWidth="1"/>
    <col min="235" max="235" width="7.140625" style="6" customWidth="1"/>
    <col min="236" max="237" width="8.85546875" style="6" customWidth="1"/>
    <col min="238" max="462" width="9.140625" style="6"/>
    <col min="463" max="463" width="40.28515625" style="6" customWidth="1"/>
    <col min="464" max="464" width="5.85546875" style="6" customWidth="1"/>
    <col min="465" max="465" width="40.28515625" style="6" customWidth="1"/>
    <col min="466" max="472" width="0" style="6" hidden="1" customWidth="1"/>
    <col min="473" max="473" width="8" style="6" customWidth="1"/>
    <col min="474" max="474" width="7" style="6" customWidth="1"/>
    <col min="475" max="475" width="10" style="6" customWidth="1"/>
    <col min="476" max="476" width="6.85546875" style="6" customWidth="1"/>
    <col min="477" max="477" width="7.140625" style="6" customWidth="1"/>
    <col min="478" max="478" width="9.140625" style="6"/>
    <col min="479" max="479" width="7" style="6" customWidth="1"/>
    <col min="480" max="480" width="8" style="6" customWidth="1"/>
    <col min="481" max="481" width="7" style="6" customWidth="1"/>
    <col min="482" max="482" width="10" style="6" customWidth="1"/>
    <col min="483" max="483" width="6.85546875" style="6" customWidth="1"/>
    <col min="484" max="484" width="7.140625" style="6" customWidth="1"/>
    <col min="485" max="486" width="8.85546875" style="6" customWidth="1"/>
    <col min="487" max="487" width="8" style="6" customWidth="1"/>
    <col min="488" max="488" width="7" style="6" customWidth="1"/>
    <col min="489" max="489" width="10" style="6" customWidth="1"/>
    <col min="490" max="490" width="6.85546875" style="6" customWidth="1"/>
    <col min="491" max="491" width="7.140625" style="6" customWidth="1"/>
    <col min="492" max="493" width="8.85546875" style="6" customWidth="1"/>
    <col min="494" max="718" width="9.140625" style="6"/>
    <col min="719" max="719" width="40.28515625" style="6" customWidth="1"/>
    <col min="720" max="720" width="5.85546875" style="6" customWidth="1"/>
    <col min="721" max="721" width="40.28515625" style="6" customWidth="1"/>
    <col min="722" max="728" width="0" style="6" hidden="1" customWidth="1"/>
    <col min="729" max="729" width="8" style="6" customWidth="1"/>
    <col min="730" max="730" width="7" style="6" customWidth="1"/>
    <col min="731" max="731" width="10" style="6" customWidth="1"/>
    <col min="732" max="732" width="6.85546875" style="6" customWidth="1"/>
    <col min="733" max="733" width="7.140625" style="6" customWidth="1"/>
    <col min="734" max="734" width="9.140625" style="6"/>
    <col min="735" max="735" width="7" style="6" customWidth="1"/>
    <col min="736" max="736" width="8" style="6" customWidth="1"/>
    <col min="737" max="737" width="7" style="6" customWidth="1"/>
    <col min="738" max="738" width="10" style="6" customWidth="1"/>
    <col min="739" max="739" width="6.85546875" style="6" customWidth="1"/>
    <col min="740" max="740" width="7.140625" style="6" customWidth="1"/>
    <col min="741" max="742" width="8.85546875" style="6" customWidth="1"/>
    <col min="743" max="743" width="8" style="6" customWidth="1"/>
    <col min="744" max="744" width="7" style="6" customWidth="1"/>
    <col min="745" max="745" width="10" style="6" customWidth="1"/>
    <col min="746" max="746" width="6.85546875" style="6" customWidth="1"/>
    <col min="747" max="747" width="7.140625" style="6" customWidth="1"/>
    <col min="748" max="749" width="8.85546875" style="6" customWidth="1"/>
    <col min="750" max="974" width="9.140625" style="6"/>
    <col min="975" max="975" width="40.28515625" style="6" customWidth="1"/>
    <col min="976" max="976" width="5.85546875" style="6" customWidth="1"/>
    <col min="977" max="977" width="40.28515625" style="6" customWidth="1"/>
    <col min="978" max="984" width="0" style="6" hidden="1" customWidth="1"/>
    <col min="985" max="985" width="8" style="6" customWidth="1"/>
    <col min="986" max="986" width="7" style="6" customWidth="1"/>
    <col min="987" max="987" width="10" style="6" customWidth="1"/>
    <col min="988" max="988" width="6.85546875" style="6" customWidth="1"/>
    <col min="989" max="989" width="7.140625" style="6" customWidth="1"/>
    <col min="990" max="990" width="9.140625" style="6"/>
    <col min="991" max="991" width="7" style="6" customWidth="1"/>
    <col min="992" max="992" width="8" style="6" customWidth="1"/>
    <col min="993" max="993" width="7" style="6" customWidth="1"/>
    <col min="994" max="994" width="10" style="6" customWidth="1"/>
    <col min="995" max="995" width="6.85546875" style="6" customWidth="1"/>
    <col min="996" max="996" width="7.140625" style="6" customWidth="1"/>
    <col min="997" max="998" width="8.85546875" style="6" customWidth="1"/>
    <col min="999" max="999" width="8" style="6" customWidth="1"/>
    <col min="1000" max="1000" width="7" style="6" customWidth="1"/>
    <col min="1001" max="1001" width="10" style="6" customWidth="1"/>
    <col min="1002" max="1002" width="6.85546875" style="6" customWidth="1"/>
    <col min="1003" max="1003" width="7.140625" style="6" customWidth="1"/>
    <col min="1004" max="1005" width="8.85546875" style="6" customWidth="1"/>
    <col min="1006" max="1230" width="9.140625" style="6"/>
    <col min="1231" max="1231" width="40.28515625" style="6" customWidth="1"/>
    <col min="1232" max="1232" width="5.85546875" style="6" customWidth="1"/>
    <col min="1233" max="1233" width="40.28515625" style="6" customWidth="1"/>
    <col min="1234" max="1240" width="0" style="6" hidden="1" customWidth="1"/>
    <col min="1241" max="1241" width="8" style="6" customWidth="1"/>
    <col min="1242" max="1242" width="7" style="6" customWidth="1"/>
    <col min="1243" max="1243" width="10" style="6" customWidth="1"/>
    <col min="1244" max="1244" width="6.85546875" style="6" customWidth="1"/>
    <col min="1245" max="1245" width="7.140625" style="6" customWidth="1"/>
    <col min="1246" max="1246" width="9.140625" style="6"/>
    <col min="1247" max="1247" width="7" style="6" customWidth="1"/>
    <col min="1248" max="1248" width="8" style="6" customWidth="1"/>
    <col min="1249" max="1249" width="7" style="6" customWidth="1"/>
    <col min="1250" max="1250" width="10" style="6" customWidth="1"/>
    <col min="1251" max="1251" width="6.85546875" style="6" customWidth="1"/>
    <col min="1252" max="1252" width="7.140625" style="6" customWidth="1"/>
    <col min="1253" max="1254" width="8.85546875" style="6" customWidth="1"/>
    <col min="1255" max="1255" width="8" style="6" customWidth="1"/>
    <col min="1256" max="1256" width="7" style="6" customWidth="1"/>
    <col min="1257" max="1257" width="10" style="6" customWidth="1"/>
    <col min="1258" max="1258" width="6.85546875" style="6" customWidth="1"/>
    <col min="1259" max="1259" width="7.140625" style="6" customWidth="1"/>
    <col min="1260" max="1261" width="8.85546875" style="6" customWidth="1"/>
    <col min="1262" max="1486" width="9.140625" style="6"/>
    <col min="1487" max="1487" width="40.28515625" style="6" customWidth="1"/>
    <col min="1488" max="1488" width="5.85546875" style="6" customWidth="1"/>
    <col min="1489" max="1489" width="40.28515625" style="6" customWidth="1"/>
    <col min="1490" max="1496" width="0" style="6" hidden="1" customWidth="1"/>
    <col min="1497" max="1497" width="8" style="6" customWidth="1"/>
    <col min="1498" max="1498" width="7" style="6" customWidth="1"/>
    <col min="1499" max="1499" width="10" style="6" customWidth="1"/>
    <col min="1500" max="1500" width="6.85546875" style="6" customWidth="1"/>
    <col min="1501" max="1501" width="7.140625" style="6" customWidth="1"/>
    <col min="1502" max="1502" width="9.140625" style="6"/>
    <col min="1503" max="1503" width="7" style="6" customWidth="1"/>
    <col min="1504" max="1504" width="8" style="6" customWidth="1"/>
    <col min="1505" max="1505" width="7" style="6" customWidth="1"/>
    <col min="1506" max="1506" width="10" style="6" customWidth="1"/>
    <col min="1507" max="1507" width="6.85546875" style="6" customWidth="1"/>
    <col min="1508" max="1508" width="7.140625" style="6" customWidth="1"/>
    <col min="1509" max="1510" width="8.85546875" style="6" customWidth="1"/>
    <col min="1511" max="1511" width="8" style="6" customWidth="1"/>
    <col min="1512" max="1512" width="7" style="6" customWidth="1"/>
    <col min="1513" max="1513" width="10" style="6" customWidth="1"/>
    <col min="1514" max="1514" width="6.85546875" style="6" customWidth="1"/>
    <col min="1515" max="1515" width="7.140625" style="6" customWidth="1"/>
    <col min="1516" max="1517" width="8.85546875" style="6" customWidth="1"/>
    <col min="1518" max="1742" width="9.140625" style="6"/>
    <col min="1743" max="1743" width="40.28515625" style="6" customWidth="1"/>
    <col min="1744" max="1744" width="5.85546875" style="6" customWidth="1"/>
    <col min="1745" max="1745" width="40.28515625" style="6" customWidth="1"/>
    <col min="1746" max="1752" width="0" style="6" hidden="1" customWidth="1"/>
    <col min="1753" max="1753" width="8" style="6" customWidth="1"/>
    <col min="1754" max="1754" width="7" style="6" customWidth="1"/>
    <col min="1755" max="1755" width="10" style="6" customWidth="1"/>
    <col min="1756" max="1756" width="6.85546875" style="6" customWidth="1"/>
    <col min="1757" max="1757" width="7.140625" style="6" customWidth="1"/>
    <col min="1758" max="1758" width="9.140625" style="6"/>
    <col min="1759" max="1759" width="7" style="6" customWidth="1"/>
    <col min="1760" max="1760" width="8" style="6" customWidth="1"/>
    <col min="1761" max="1761" width="7" style="6" customWidth="1"/>
    <col min="1762" max="1762" width="10" style="6" customWidth="1"/>
    <col min="1763" max="1763" width="6.85546875" style="6" customWidth="1"/>
    <col min="1764" max="1764" width="7.140625" style="6" customWidth="1"/>
    <col min="1765" max="1766" width="8.85546875" style="6" customWidth="1"/>
    <col min="1767" max="1767" width="8" style="6" customWidth="1"/>
    <col min="1768" max="1768" width="7" style="6" customWidth="1"/>
    <col min="1769" max="1769" width="10" style="6" customWidth="1"/>
    <col min="1770" max="1770" width="6.85546875" style="6" customWidth="1"/>
    <col min="1771" max="1771" width="7.140625" style="6" customWidth="1"/>
    <col min="1772" max="1773" width="8.85546875" style="6" customWidth="1"/>
    <col min="1774" max="1998" width="9.140625" style="6"/>
    <col min="1999" max="1999" width="40.28515625" style="6" customWidth="1"/>
    <col min="2000" max="2000" width="5.85546875" style="6" customWidth="1"/>
    <col min="2001" max="2001" width="40.28515625" style="6" customWidth="1"/>
    <col min="2002" max="2008" width="0" style="6" hidden="1" customWidth="1"/>
    <col min="2009" max="2009" width="8" style="6" customWidth="1"/>
    <col min="2010" max="2010" width="7" style="6" customWidth="1"/>
    <col min="2011" max="2011" width="10" style="6" customWidth="1"/>
    <col min="2012" max="2012" width="6.85546875" style="6" customWidth="1"/>
    <col min="2013" max="2013" width="7.140625" style="6" customWidth="1"/>
    <col min="2014" max="2014" width="9.140625" style="6"/>
    <col min="2015" max="2015" width="7" style="6" customWidth="1"/>
    <col min="2016" max="2016" width="8" style="6" customWidth="1"/>
    <col min="2017" max="2017" width="7" style="6" customWidth="1"/>
    <col min="2018" max="2018" width="10" style="6" customWidth="1"/>
    <col min="2019" max="2019" width="6.85546875" style="6" customWidth="1"/>
    <col min="2020" max="2020" width="7.140625" style="6" customWidth="1"/>
    <col min="2021" max="2022" width="8.85546875" style="6" customWidth="1"/>
    <col min="2023" max="2023" width="8" style="6" customWidth="1"/>
    <col min="2024" max="2024" width="7" style="6" customWidth="1"/>
    <col min="2025" max="2025" width="10" style="6" customWidth="1"/>
    <col min="2026" max="2026" width="6.85546875" style="6" customWidth="1"/>
    <col min="2027" max="2027" width="7.140625" style="6" customWidth="1"/>
    <col min="2028" max="2029" width="8.85546875" style="6" customWidth="1"/>
    <col min="2030" max="2254" width="9.140625" style="6"/>
    <col min="2255" max="2255" width="40.28515625" style="6" customWidth="1"/>
    <col min="2256" max="2256" width="5.85546875" style="6" customWidth="1"/>
    <col min="2257" max="2257" width="40.28515625" style="6" customWidth="1"/>
    <col min="2258" max="2264" width="0" style="6" hidden="1" customWidth="1"/>
    <col min="2265" max="2265" width="8" style="6" customWidth="1"/>
    <col min="2266" max="2266" width="7" style="6" customWidth="1"/>
    <col min="2267" max="2267" width="10" style="6" customWidth="1"/>
    <col min="2268" max="2268" width="6.85546875" style="6" customWidth="1"/>
    <col min="2269" max="2269" width="7.140625" style="6" customWidth="1"/>
    <col min="2270" max="2270" width="9.140625" style="6"/>
    <col min="2271" max="2271" width="7" style="6" customWidth="1"/>
    <col min="2272" max="2272" width="8" style="6" customWidth="1"/>
    <col min="2273" max="2273" width="7" style="6" customWidth="1"/>
    <col min="2274" max="2274" width="10" style="6" customWidth="1"/>
    <col min="2275" max="2275" width="6.85546875" style="6" customWidth="1"/>
    <col min="2276" max="2276" width="7.140625" style="6" customWidth="1"/>
    <col min="2277" max="2278" width="8.85546875" style="6" customWidth="1"/>
    <col min="2279" max="2279" width="8" style="6" customWidth="1"/>
    <col min="2280" max="2280" width="7" style="6" customWidth="1"/>
    <col min="2281" max="2281" width="10" style="6" customWidth="1"/>
    <col min="2282" max="2282" width="6.85546875" style="6" customWidth="1"/>
    <col min="2283" max="2283" width="7.140625" style="6" customWidth="1"/>
    <col min="2284" max="2285" width="8.85546875" style="6" customWidth="1"/>
    <col min="2286" max="2510" width="9.140625" style="6"/>
    <col min="2511" max="2511" width="40.28515625" style="6" customWidth="1"/>
    <col min="2512" max="2512" width="5.85546875" style="6" customWidth="1"/>
    <col min="2513" max="2513" width="40.28515625" style="6" customWidth="1"/>
    <col min="2514" max="2520" width="0" style="6" hidden="1" customWidth="1"/>
    <col min="2521" max="2521" width="8" style="6" customWidth="1"/>
    <col min="2522" max="2522" width="7" style="6" customWidth="1"/>
    <col min="2523" max="2523" width="10" style="6" customWidth="1"/>
    <col min="2524" max="2524" width="6.85546875" style="6" customWidth="1"/>
    <col min="2525" max="2525" width="7.140625" style="6" customWidth="1"/>
    <col min="2526" max="2526" width="9.140625" style="6"/>
    <col min="2527" max="2527" width="7" style="6" customWidth="1"/>
    <col min="2528" max="2528" width="8" style="6" customWidth="1"/>
    <col min="2529" max="2529" width="7" style="6" customWidth="1"/>
    <col min="2530" max="2530" width="10" style="6" customWidth="1"/>
    <col min="2531" max="2531" width="6.85546875" style="6" customWidth="1"/>
    <col min="2532" max="2532" width="7.140625" style="6" customWidth="1"/>
    <col min="2533" max="2534" width="8.85546875" style="6" customWidth="1"/>
    <col min="2535" max="2535" width="8" style="6" customWidth="1"/>
    <col min="2536" max="2536" width="7" style="6" customWidth="1"/>
    <col min="2537" max="2537" width="10" style="6" customWidth="1"/>
    <col min="2538" max="2538" width="6.85546875" style="6" customWidth="1"/>
    <col min="2539" max="2539" width="7.140625" style="6" customWidth="1"/>
    <col min="2540" max="2541" width="8.85546875" style="6" customWidth="1"/>
    <col min="2542" max="2766" width="9.140625" style="6"/>
    <col min="2767" max="2767" width="40.28515625" style="6" customWidth="1"/>
    <col min="2768" max="2768" width="5.85546875" style="6" customWidth="1"/>
    <col min="2769" max="2769" width="40.28515625" style="6" customWidth="1"/>
    <col min="2770" max="2776" width="0" style="6" hidden="1" customWidth="1"/>
    <col min="2777" max="2777" width="8" style="6" customWidth="1"/>
    <col min="2778" max="2778" width="7" style="6" customWidth="1"/>
    <col min="2779" max="2779" width="10" style="6" customWidth="1"/>
    <col min="2780" max="2780" width="6.85546875" style="6" customWidth="1"/>
    <col min="2781" max="2781" width="7.140625" style="6" customWidth="1"/>
    <col min="2782" max="2782" width="9.140625" style="6"/>
    <col min="2783" max="2783" width="7" style="6" customWidth="1"/>
    <col min="2784" max="2784" width="8" style="6" customWidth="1"/>
    <col min="2785" max="2785" width="7" style="6" customWidth="1"/>
    <col min="2786" max="2786" width="10" style="6" customWidth="1"/>
    <col min="2787" max="2787" width="6.85546875" style="6" customWidth="1"/>
    <col min="2788" max="2788" width="7.140625" style="6" customWidth="1"/>
    <col min="2789" max="2790" width="8.85546875" style="6" customWidth="1"/>
    <col min="2791" max="2791" width="8" style="6" customWidth="1"/>
    <col min="2792" max="2792" width="7" style="6" customWidth="1"/>
    <col min="2793" max="2793" width="10" style="6" customWidth="1"/>
    <col min="2794" max="2794" width="6.85546875" style="6" customWidth="1"/>
    <col min="2795" max="2795" width="7.140625" style="6" customWidth="1"/>
    <col min="2796" max="2797" width="8.85546875" style="6" customWidth="1"/>
    <col min="2798" max="3022" width="9.140625" style="6"/>
    <col min="3023" max="3023" width="40.28515625" style="6" customWidth="1"/>
    <col min="3024" max="3024" width="5.85546875" style="6" customWidth="1"/>
    <col min="3025" max="3025" width="40.28515625" style="6" customWidth="1"/>
    <col min="3026" max="3032" width="0" style="6" hidden="1" customWidth="1"/>
    <col min="3033" max="3033" width="8" style="6" customWidth="1"/>
    <col min="3034" max="3034" width="7" style="6" customWidth="1"/>
    <col min="3035" max="3035" width="10" style="6" customWidth="1"/>
    <col min="3036" max="3036" width="6.85546875" style="6" customWidth="1"/>
    <col min="3037" max="3037" width="7.140625" style="6" customWidth="1"/>
    <col min="3038" max="3038" width="9.140625" style="6"/>
    <col min="3039" max="3039" width="7" style="6" customWidth="1"/>
    <col min="3040" max="3040" width="8" style="6" customWidth="1"/>
    <col min="3041" max="3041" width="7" style="6" customWidth="1"/>
    <col min="3042" max="3042" width="10" style="6" customWidth="1"/>
    <col min="3043" max="3043" width="6.85546875" style="6" customWidth="1"/>
    <col min="3044" max="3044" width="7.140625" style="6" customWidth="1"/>
    <col min="3045" max="3046" width="8.85546875" style="6" customWidth="1"/>
    <col min="3047" max="3047" width="8" style="6" customWidth="1"/>
    <col min="3048" max="3048" width="7" style="6" customWidth="1"/>
    <col min="3049" max="3049" width="10" style="6" customWidth="1"/>
    <col min="3050" max="3050" width="6.85546875" style="6" customWidth="1"/>
    <col min="3051" max="3051" width="7.140625" style="6" customWidth="1"/>
    <col min="3052" max="3053" width="8.85546875" style="6" customWidth="1"/>
    <col min="3054" max="3278" width="9.140625" style="6"/>
    <col min="3279" max="3279" width="40.28515625" style="6" customWidth="1"/>
    <col min="3280" max="3280" width="5.85546875" style="6" customWidth="1"/>
    <col min="3281" max="3281" width="40.28515625" style="6" customWidth="1"/>
    <col min="3282" max="3288" width="0" style="6" hidden="1" customWidth="1"/>
    <col min="3289" max="3289" width="8" style="6" customWidth="1"/>
    <col min="3290" max="3290" width="7" style="6" customWidth="1"/>
    <col min="3291" max="3291" width="10" style="6" customWidth="1"/>
    <col min="3292" max="3292" width="6.85546875" style="6" customWidth="1"/>
    <col min="3293" max="3293" width="7.140625" style="6" customWidth="1"/>
    <col min="3294" max="3294" width="9.140625" style="6"/>
    <col min="3295" max="3295" width="7" style="6" customWidth="1"/>
    <col min="3296" max="3296" width="8" style="6" customWidth="1"/>
    <col min="3297" max="3297" width="7" style="6" customWidth="1"/>
    <col min="3298" max="3298" width="10" style="6" customWidth="1"/>
    <col min="3299" max="3299" width="6.85546875" style="6" customWidth="1"/>
    <col min="3300" max="3300" width="7.140625" style="6" customWidth="1"/>
    <col min="3301" max="3302" width="8.85546875" style="6" customWidth="1"/>
    <col min="3303" max="3303" width="8" style="6" customWidth="1"/>
    <col min="3304" max="3304" width="7" style="6" customWidth="1"/>
    <col min="3305" max="3305" width="10" style="6" customWidth="1"/>
    <col min="3306" max="3306" width="6.85546875" style="6" customWidth="1"/>
    <col min="3307" max="3307" width="7.140625" style="6" customWidth="1"/>
    <col min="3308" max="3309" width="8.85546875" style="6" customWidth="1"/>
    <col min="3310" max="3534" width="9.140625" style="6"/>
    <col min="3535" max="3535" width="40.28515625" style="6" customWidth="1"/>
    <col min="3536" max="3536" width="5.85546875" style="6" customWidth="1"/>
    <col min="3537" max="3537" width="40.28515625" style="6" customWidth="1"/>
    <col min="3538" max="3544" width="0" style="6" hidden="1" customWidth="1"/>
    <col min="3545" max="3545" width="8" style="6" customWidth="1"/>
    <col min="3546" max="3546" width="7" style="6" customWidth="1"/>
    <col min="3547" max="3547" width="10" style="6" customWidth="1"/>
    <col min="3548" max="3548" width="6.85546875" style="6" customWidth="1"/>
    <col min="3549" max="3549" width="7.140625" style="6" customWidth="1"/>
    <col min="3550" max="3550" width="9.140625" style="6"/>
    <col min="3551" max="3551" width="7" style="6" customWidth="1"/>
    <col min="3552" max="3552" width="8" style="6" customWidth="1"/>
    <col min="3553" max="3553" width="7" style="6" customWidth="1"/>
    <col min="3554" max="3554" width="10" style="6" customWidth="1"/>
    <col min="3555" max="3555" width="6.85546875" style="6" customWidth="1"/>
    <col min="3556" max="3556" width="7.140625" style="6" customWidth="1"/>
    <col min="3557" max="3558" width="8.85546875" style="6" customWidth="1"/>
    <col min="3559" max="3559" width="8" style="6" customWidth="1"/>
    <col min="3560" max="3560" width="7" style="6" customWidth="1"/>
    <col min="3561" max="3561" width="10" style="6" customWidth="1"/>
    <col min="3562" max="3562" width="6.85546875" style="6" customWidth="1"/>
    <col min="3563" max="3563" width="7.140625" style="6" customWidth="1"/>
    <col min="3564" max="3565" width="8.85546875" style="6" customWidth="1"/>
    <col min="3566" max="3790" width="9.140625" style="6"/>
    <col min="3791" max="3791" width="40.28515625" style="6" customWidth="1"/>
    <col min="3792" max="3792" width="5.85546875" style="6" customWidth="1"/>
    <col min="3793" max="3793" width="40.28515625" style="6" customWidth="1"/>
    <col min="3794" max="3800" width="0" style="6" hidden="1" customWidth="1"/>
    <col min="3801" max="3801" width="8" style="6" customWidth="1"/>
    <col min="3802" max="3802" width="7" style="6" customWidth="1"/>
    <col min="3803" max="3803" width="10" style="6" customWidth="1"/>
    <col min="3804" max="3804" width="6.85546875" style="6" customWidth="1"/>
    <col min="3805" max="3805" width="7.140625" style="6" customWidth="1"/>
    <col min="3806" max="3806" width="9.140625" style="6"/>
    <col min="3807" max="3807" width="7" style="6" customWidth="1"/>
    <col min="3808" max="3808" width="8" style="6" customWidth="1"/>
    <col min="3809" max="3809" width="7" style="6" customWidth="1"/>
    <col min="3810" max="3810" width="10" style="6" customWidth="1"/>
    <col min="3811" max="3811" width="6.85546875" style="6" customWidth="1"/>
    <col min="3812" max="3812" width="7.140625" style="6" customWidth="1"/>
    <col min="3813" max="3814" width="8.85546875" style="6" customWidth="1"/>
    <col min="3815" max="3815" width="8" style="6" customWidth="1"/>
    <col min="3816" max="3816" width="7" style="6" customWidth="1"/>
    <col min="3817" max="3817" width="10" style="6" customWidth="1"/>
    <col min="3818" max="3818" width="6.85546875" style="6" customWidth="1"/>
    <col min="3819" max="3819" width="7.140625" style="6" customWidth="1"/>
    <col min="3820" max="3821" width="8.85546875" style="6" customWidth="1"/>
    <col min="3822" max="4046" width="9.140625" style="6"/>
    <col min="4047" max="4047" width="40.28515625" style="6" customWidth="1"/>
    <col min="4048" max="4048" width="5.85546875" style="6" customWidth="1"/>
    <col min="4049" max="4049" width="40.28515625" style="6" customWidth="1"/>
    <col min="4050" max="4056" width="0" style="6" hidden="1" customWidth="1"/>
    <col min="4057" max="4057" width="8" style="6" customWidth="1"/>
    <col min="4058" max="4058" width="7" style="6" customWidth="1"/>
    <col min="4059" max="4059" width="10" style="6" customWidth="1"/>
    <col min="4060" max="4060" width="6.85546875" style="6" customWidth="1"/>
    <col min="4061" max="4061" width="7.140625" style="6" customWidth="1"/>
    <col min="4062" max="4062" width="9.140625" style="6"/>
    <col min="4063" max="4063" width="7" style="6" customWidth="1"/>
    <col min="4064" max="4064" width="8" style="6" customWidth="1"/>
    <col min="4065" max="4065" width="7" style="6" customWidth="1"/>
    <col min="4066" max="4066" width="10" style="6" customWidth="1"/>
    <col min="4067" max="4067" width="6.85546875" style="6" customWidth="1"/>
    <col min="4068" max="4068" width="7.140625" style="6" customWidth="1"/>
    <col min="4069" max="4070" width="8.85546875" style="6" customWidth="1"/>
    <col min="4071" max="4071" width="8" style="6" customWidth="1"/>
    <col min="4072" max="4072" width="7" style="6" customWidth="1"/>
    <col min="4073" max="4073" width="10" style="6" customWidth="1"/>
    <col min="4074" max="4074" width="6.85546875" style="6" customWidth="1"/>
    <col min="4075" max="4075" width="7.140625" style="6" customWidth="1"/>
    <col min="4076" max="4077" width="8.85546875" style="6" customWidth="1"/>
    <col min="4078" max="4302" width="9.140625" style="6"/>
    <col min="4303" max="4303" width="40.28515625" style="6" customWidth="1"/>
    <col min="4304" max="4304" width="5.85546875" style="6" customWidth="1"/>
    <col min="4305" max="4305" width="40.28515625" style="6" customWidth="1"/>
    <col min="4306" max="4312" width="0" style="6" hidden="1" customWidth="1"/>
    <col min="4313" max="4313" width="8" style="6" customWidth="1"/>
    <col min="4314" max="4314" width="7" style="6" customWidth="1"/>
    <col min="4315" max="4315" width="10" style="6" customWidth="1"/>
    <col min="4316" max="4316" width="6.85546875" style="6" customWidth="1"/>
    <col min="4317" max="4317" width="7.140625" style="6" customWidth="1"/>
    <col min="4318" max="4318" width="9.140625" style="6"/>
    <col min="4319" max="4319" width="7" style="6" customWidth="1"/>
    <col min="4320" max="4320" width="8" style="6" customWidth="1"/>
    <col min="4321" max="4321" width="7" style="6" customWidth="1"/>
    <col min="4322" max="4322" width="10" style="6" customWidth="1"/>
    <col min="4323" max="4323" width="6.85546875" style="6" customWidth="1"/>
    <col min="4324" max="4324" width="7.140625" style="6" customWidth="1"/>
    <col min="4325" max="4326" width="8.85546875" style="6" customWidth="1"/>
    <col min="4327" max="4327" width="8" style="6" customWidth="1"/>
    <col min="4328" max="4328" width="7" style="6" customWidth="1"/>
    <col min="4329" max="4329" width="10" style="6" customWidth="1"/>
    <col min="4330" max="4330" width="6.85546875" style="6" customWidth="1"/>
    <col min="4331" max="4331" width="7.140625" style="6" customWidth="1"/>
    <col min="4332" max="4333" width="8.85546875" style="6" customWidth="1"/>
    <col min="4334" max="4558" width="9.140625" style="6"/>
    <col min="4559" max="4559" width="40.28515625" style="6" customWidth="1"/>
    <col min="4560" max="4560" width="5.85546875" style="6" customWidth="1"/>
    <col min="4561" max="4561" width="40.28515625" style="6" customWidth="1"/>
    <col min="4562" max="4568" width="0" style="6" hidden="1" customWidth="1"/>
    <col min="4569" max="4569" width="8" style="6" customWidth="1"/>
    <col min="4570" max="4570" width="7" style="6" customWidth="1"/>
    <col min="4571" max="4571" width="10" style="6" customWidth="1"/>
    <col min="4572" max="4572" width="6.85546875" style="6" customWidth="1"/>
    <col min="4573" max="4573" width="7.140625" style="6" customWidth="1"/>
    <col min="4574" max="4574" width="9.140625" style="6"/>
    <col min="4575" max="4575" width="7" style="6" customWidth="1"/>
    <col min="4576" max="4576" width="8" style="6" customWidth="1"/>
    <col min="4577" max="4577" width="7" style="6" customWidth="1"/>
    <col min="4578" max="4578" width="10" style="6" customWidth="1"/>
    <col min="4579" max="4579" width="6.85546875" style="6" customWidth="1"/>
    <col min="4580" max="4580" width="7.140625" style="6" customWidth="1"/>
    <col min="4581" max="4582" width="8.85546875" style="6" customWidth="1"/>
    <col min="4583" max="4583" width="8" style="6" customWidth="1"/>
    <col min="4584" max="4584" width="7" style="6" customWidth="1"/>
    <col min="4585" max="4585" width="10" style="6" customWidth="1"/>
    <col min="4586" max="4586" width="6.85546875" style="6" customWidth="1"/>
    <col min="4587" max="4587" width="7.140625" style="6" customWidth="1"/>
    <col min="4588" max="4589" width="8.85546875" style="6" customWidth="1"/>
    <col min="4590" max="4814" width="9.140625" style="6"/>
    <col min="4815" max="4815" width="40.28515625" style="6" customWidth="1"/>
    <col min="4816" max="4816" width="5.85546875" style="6" customWidth="1"/>
    <col min="4817" max="4817" width="40.28515625" style="6" customWidth="1"/>
    <col min="4818" max="4824" width="0" style="6" hidden="1" customWidth="1"/>
    <col min="4825" max="4825" width="8" style="6" customWidth="1"/>
    <col min="4826" max="4826" width="7" style="6" customWidth="1"/>
    <col min="4827" max="4827" width="10" style="6" customWidth="1"/>
    <col min="4828" max="4828" width="6.85546875" style="6" customWidth="1"/>
    <col min="4829" max="4829" width="7.140625" style="6" customWidth="1"/>
    <col min="4830" max="4830" width="9.140625" style="6"/>
    <col min="4831" max="4831" width="7" style="6" customWidth="1"/>
    <col min="4832" max="4832" width="8" style="6" customWidth="1"/>
    <col min="4833" max="4833" width="7" style="6" customWidth="1"/>
    <col min="4834" max="4834" width="10" style="6" customWidth="1"/>
    <col min="4835" max="4835" width="6.85546875" style="6" customWidth="1"/>
    <col min="4836" max="4836" width="7.140625" style="6" customWidth="1"/>
    <col min="4837" max="4838" width="8.85546875" style="6" customWidth="1"/>
    <col min="4839" max="4839" width="8" style="6" customWidth="1"/>
    <col min="4840" max="4840" width="7" style="6" customWidth="1"/>
    <col min="4841" max="4841" width="10" style="6" customWidth="1"/>
    <col min="4842" max="4842" width="6.85546875" style="6" customWidth="1"/>
    <col min="4843" max="4843" width="7.140625" style="6" customWidth="1"/>
    <col min="4844" max="4845" width="8.85546875" style="6" customWidth="1"/>
    <col min="4846" max="5070" width="9.140625" style="6"/>
    <col min="5071" max="5071" width="40.28515625" style="6" customWidth="1"/>
    <col min="5072" max="5072" width="5.85546875" style="6" customWidth="1"/>
    <col min="5073" max="5073" width="40.28515625" style="6" customWidth="1"/>
    <col min="5074" max="5080" width="0" style="6" hidden="1" customWidth="1"/>
    <col min="5081" max="5081" width="8" style="6" customWidth="1"/>
    <col min="5082" max="5082" width="7" style="6" customWidth="1"/>
    <col min="5083" max="5083" width="10" style="6" customWidth="1"/>
    <col min="5084" max="5084" width="6.85546875" style="6" customWidth="1"/>
    <col min="5085" max="5085" width="7.140625" style="6" customWidth="1"/>
    <col min="5086" max="5086" width="9.140625" style="6"/>
    <col min="5087" max="5087" width="7" style="6" customWidth="1"/>
    <col min="5088" max="5088" width="8" style="6" customWidth="1"/>
    <col min="5089" max="5089" width="7" style="6" customWidth="1"/>
    <col min="5090" max="5090" width="10" style="6" customWidth="1"/>
    <col min="5091" max="5091" width="6.85546875" style="6" customWidth="1"/>
    <col min="5092" max="5092" width="7.140625" style="6" customWidth="1"/>
    <col min="5093" max="5094" width="8.85546875" style="6" customWidth="1"/>
    <col min="5095" max="5095" width="8" style="6" customWidth="1"/>
    <col min="5096" max="5096" width="7" style="6" customWidth="1"/>
    <col min="5097" max="5097" width="10" style="6" customWidth="1"/>
    <col min="5098" max="5098" width="6.85546875" style="6" customWidth="1"/>
    <col min="5099" max="5099" width="7.140625" style="6" customWidth="1"/>
    <col min="5100" max="5101" width="8.85546875" style="6" customWidth="1"/>
    <col min="5102" max="5326" width="9.140625" style="6"/>
    <col min="5327" max="5327" width="40.28515625" style="6" customWidth="1"/>
    <col min="5328" max="5328" width="5.85546875" style="6" customWidth="1"/>
    <col min="5329" max="5329" width="40.28515625" style="6" customWidth="1"/>
    <col min="5330" max="5336" width="0" style="6" hidden="1" customWidth="1"/>
    <col min="5337" max="5337" width="8" style="6" customWidth="1"/>
    <col min="5338" max="5338" width="7" style="6" customWidth="1"/>
    <col min="5339" max="5339" width="10" style="6" customWidth="1"/>
    <col min="5340" max="5340" width="6.85546875" style="6" customWidth="1"/>
    <col min="5341" max="5341" width="7.140625" style="6" customWidth="1"/>
    <col min="5342" max="5342" width="9.140625" style="6"/>
    <col min="5343" max="5343" width="7" style="6" customWidth="1"/>
    <col min="5344" max="5344" width="8" style="6" customWidth="1"/>
    <col min="5345" max="5345" width="7" style="6" customWidth="1"/>
    <col min="5346" max="5346" width="10" style="6" customWidth="1"/>
    <col min="5347" max="5347" width="6.85546875" style="6" customWidth="1"/>
    <col min="5348" max="5348" width="7.140625" style="6" customWidth="1"/>
    <col min="5349" max="5350" width="8.85546875" style="6" customWidth="1"/>
    <col min="5351" max="5351" width="8" style="6" customWidth="1"/>
    <col min="5352" max="5352" width="7" style="6" customWidth="1"/>
    <col min="5353" max="5353" width="10" style="6" customWidth="1"/>
    <col min="5354" max="5354" width="6.85546875" style="6" customWidth="1"/>
    <col min="5355" max="5355" width="7.140625" style="6" customWidth="1"/>
    <col min="5356" max="5357" width="8.85546875" style="6" customWidth="1"/>
    <col min="5358" max="5582" width="9.140625" style="6"/>
    <col min="5583" max="5583" width="40.28515625" style="6" customWidth="1"/>
    <col min="5584" max="5584" width="5.85546875" style="6" customWidth="1"/>
    <col min="5585" max="5585" width="40.28515625" style="6" customWidth="1"/>
    <col min="5586" max="5592" width="0" style="6" hidden="1" customWidth="1"/>
    <col min="5593" max="5593" width="8" style="6" customWidth="1"/>
    <col min="5594" max="5594" width="7" style="6" customWidth="1"/>
    <col min="5595" max="5595" width="10" style="6" customWidth="1"/>
    <col min="5596" max="5596" width="6.85546875" style="6" customWidth="1"/>
    <col min="5597" max="5597" width="7.140625" style="6" customWidth="1"/>
    <col min="5598" max="5598" width="9.140625" style="6"/>
    <col min="5599" max="5599" width="7" style="6" customWidth="1"/>
    <col min="5600" max="5600" width="8" style="6" customWidth="1"/>
    <col min="5601" max="5601" width="7" style="6" customWidth="1"/>
    <col min="5602" max="5602" width="10" style="6" customWidth="1"/>
    <col min="5603" max="5603" width="6.85546875" style="6" customWidth="1"/>
    <col min="5604" max="5604" width="7.140625" style="6" customWidth="1"/>
    <col min="5605" max="5606" width="8.85546875" style="6" customWidth="1"/>
    <col min="5607" max="5607" width="8" style="6" customWidth="1"/>
    <col min="5608" max="5608" width="7" style="6" customWidth="1"/>
    <col min="5609" max="5609" width="10" style="6" customWidth="1"/>
    <col min="5610" max="5610" width="6.85546875" style="6" customWidth="1"/>
    <col min="5611" max="5611" width="7.140625" style="6" customWidth="1"/>
    <col min="5612" max="5613" width="8.85546875" style="6" customWidth="1"/>
    <col min="5614" max="5838" width="9.140625" style="6"/>
    <col min="5839" max="5839" width="40.28515625" style="6" customWidth="1"/>
    <col min="5840" max="5840" width="5.85546875" style="6" customWidth="1"/>
    <col min="5841" max="5841" width="40.28515625" style="6" customWidth="1"/>
    <col min="5842" max="5848" width="0" style="6" hidden="1" customWidth="1"/>
    <col min="5849" max="5849" width="8" style="6" customWidth="1"/>
    <col min="5850" max="5850" width="7" style="6" customWidth="1"/>
    <col min="5851" max="5851" width="10" style="6" customWidth="1"/>
    <col min="5852" max="5852" width="6.85546875" style="6" customWidth="1"/>
    <col min="5853" max="5853" width="7.140625" style="6" customWidth="1"/>
    <col min="5854" max="5854" width="9.140625" style="6"/>
    <col min="5855" max="5855" width="7" style="6" customWidth="1"/>
    <col min="5856" max="5856" width="8" style="6" customWidth="1"/>
    <col min="5857" max="5857" width="7" style="6" customWidth="1"/>
    <col min="5858" max="5858" width="10" style="6" customWidth="1"/>
    <col min="5859" max="5859" width="6.85546875" style="6" customWidth="1"/>
    <col min="5860" max="5860" width="7.140625" style="6" customWidth="1"/>
    <col min="5861" max="5862" width="8.85546875" style="6" customWidth="1"/>
    <col min="5863" max="5863" width="8" style="6" customWidth="1"/>
    <col min="5864" max="5864" width="7" style="6" customWidth="1"/>
    <col min="5865" max="5865" width="10" style="6" customWidth="1"/>
    <col min="5866" max="5866" width="6.85546875" style="6" customWidth="1"/>
    <col min="5867" max="5867" width="7.140625" style="6" customWidth="1"/>
    <col min="5868" max="5869" width="8.85546875" style="6" customWidth="1"/>
    <col min="5870" max="6094" width="9.140625" style="6"/>
    <col min="6095" max="6095" width="40.28515625" style="6" customWidth="1"/>
    <col min="6096" max="6096" width="5.85546875" style="6" customWidth="1"/>
    <col min="6097" max="6097" width="40.28515625" style="6" customWidth="1"/>
    <col min="6098" max="6104" width="0" style="6" hidden="1" customWidth="1"/>
    <col min="6105" max="6105" width="8" style="6" customWidth="1"/>
    <col min="6106" max="6106" width="7" style="6" customWidth="1"/>
    <col min="6107" max="6107" width="10" style="6" customWidth="1"/>
    <col min="6108" max="6108" width="6.85546875" style="6" customWidth="1"/>
    <col min="6109" max="6109" width="7.140625" style="6" customWidth="1"/>
    <col min="6110" max="6110" width="9.140625" style="6"/>
    <col min="6111" max="6111" width="7" style="6" customWidth="1"/>
    <col min="6112" max="6112" width="8" style="6" customWidth="1"/>
    <col min="6113" max="6113" width="7" style="6" customWidth="1"/>
    <col min="6114" max="6114" width="10" style="6" customWidth="1"/>
    <col min="6115" max="6115" width="6.85546875" style="6" customWidth="1"/>
    <col min="6116" max="6116" width="7.140625" style="6" customWidth="1"/>
    <col min="6117" max="6118" width="8.85546875" style="6" customWidth="1"/>
    <col min="6119" max="6119" width="8" style="6" customWidth="1"/>
    <col min="6120" max="6120" width="7" style="6" customWidth="1"/>
    <col min="6121" max="6121" width="10" style="6" customWidth="1"/>
    <col min="6122" max="6122" width="6.85546875" style="6" customWidth="1"/>
    <col min="6123" max="6123" width="7.140625" style="6" customWidth="1"/>
    <col min="6124" max="6125" width="8.85546875" style="6" customWidth="1"/>
    <col min="6126" max="6350" width="9.140625" style="6"/>
    <col min="6351" max="6351" width="40.28515625" style="6" customWidth="1"/>
    <col min="6352" max="6352" width="5.85546875" style="6" customWidth="1"/>
    <col min="6353" max="6353" width="40.28515625" style="6" customWidth="1"/>
    <col min="6354" max="6360" width="0" style="6" hidden="1" customWidth="1"/>
    <col min="6361" max="6361" width="8" style="6" customWidth="1"/>
    <col min="6362" max="6362" width="7" style="6" customWidth="1"/>
    <col min="6363" max="6363" width="10" style="6" customWidth="1"/>
    <col min="6364" max="6364" width="6.85546875" style="6" customWidth="1"/>
    <col min="6365" max="6365" width="7.140625" style="6" customWidth="1"/>
    <col min="6366" max="6366" width="9.140625" style="6"/>
    <col min="6367" max="6367" width="7" style="6" customWidth="1"/>
    <col min="6368" max="6368" width="8" style="6" customWidth="1"/>
    <col min="6369" max="6369" width="7" style="6" customWidth="1"/>
    <col min="6370" max="6370" width="10" style="6" customWidth="1"/>
    <col min="6371" max="6371" width="6.85546875" style="6" customWidth="1"/>
    <col min="6372" max="6372" width="7.140625" style="6" customWidth="1"/>
    <col min="6373" max="6374" width="8.85546875" style="6" customWidth="1"/>
    <col min="6375" max="6375" width="8" style="6" customWidth="1"/>
    <col min="6376" max="6376" width="7" style="6" customWidth="1"/>
    <col min="6377" max="6377" width="10" style="6" customWidth="1"/>
    <col min="6378" max="6378" width="6.85546875" style="6" customWidth="1"/>
    <col min="6379" max="6379" width="7.140625" style="6" customWidth="1"/>
    <col min="6380" max="6381" width="8.85546875" style="6" customWidth="1"/>
    <col min="6382" max="6606" width="9.140625" style="6"/>
    <col min="6607" max="6607" width="40.28515625" style="6" customWidth="1"/>
    <col min="6608" max="6608" width="5.85546875" style="6" customWidth="1"/>
    <col min="6609" max="6609" width="40.28515625" style="6" customWidth="1"/>
    <col min="6610" max="6616" width="0" style="6" hidden="1" customWidth="1"/>
    <col min="6617" max="6617" width="8" style="6" customWidth="1"/>
    <col min="6618" max="6618" width="7" style="6" customWidth="1"/>
    <col min="6619" max="6619" width="10" style="6" customWidth="1"/>
    <col min="6620" max="6620" width="6.85546875" style="6" customWidth="1"/>
    <col min="6621" max="6621" width="7.140625" style="6" customWidth="1"/>
    <col min="6622" max="6622" width="9.140625" style="6"/>
    <col min="6623" max="6623" width="7" style="6" customWidth="1"/>
    <col min="6624" max="6624" width="8" style="6" customWidth="1"/>
    <col min="6625" max="6625" width="7" style="6" customWidth="1"/>
    <col min="6626" max="6626" width="10" style="6" customWidth="1"/>
    <col min="6627" max="6627" width="6.85546875" style="6" customWidth="1"/>
    <col min="6628" max="6628" width="7.140625" style="6" customWidth="1"/>
    <col min="6629" max="6630" width="8.85546875" style="6" customWidth="1"/>
    <col min="6631" max="6631" width="8" style="6" customWidth="1"/>
    <col min="6632" max="6632" width="7" style="6" customWidth="1"/>
    <col min="6633" max="6633" width="10" style="6" customWidth="1"/>
    <col min="6634" max="6634" width="6.85546875" style="6" customWidth="1"/>
    <col min="6635" max="6635" width="7.140625" style="6" customWidth="1"/>
    <col min="6636" max="6637" width="8.85546875" style="6" customWidth="1"/>
    <col min="6638" max="6862" width="9.140625" style="6"/>
    <col min="6863" max="6863" width="40.28515625" style="6" customWidth="1"/>
    <col min="6864" max="6864" width="5.85546875" style="6" customWidth="1"/>
    <col min="6865" max="6865" width="40.28515625" style="6" customWidth="1"/>
    <col min="6866" max="6872" width="0" style="6" hidden="1" customWidth="1"/>
    <col min="6873" max="6873" width="8" style="6" customWidth="1"/>
    <col min="6874" max="6874" width="7" style="6" customWidth="1"/>
    <col min="6875" max="6875" width="10" style="6" customWidth="1"/>
    <col min="6876" max="6876" width="6.85546875" style="6" customWidth="1"/>
    <col min="6877" max="6877" width="7.140625" style="6" customWidth="1"/>
    <col min="6878" max="6878" width="9.140625" style="6"/>
    <col min="6879" max="6879" width="7" style="6" customWidth="1"/>
    <col min="6880" max="6880" width="8" style="6" customWidth="1"/>
    <col min="6881" max="6881" width="7" style="6" customWidth="1"/>
    <col min="6882" max="6882" width="10" style="6" customWidth="1"/>
    <col min="6883" max="6883" width="6.85546875" style="6" customWidth="1"/>
    <col min="6884" max="6884" width="7.140625" style="6" customWidth="1"/>
    <col min="6885" max="6886" width="8.85546875" style="6" customWidth="1"/>
    <col min="6887" max="6887" width="8" style="6" customWidth="1"/>
    <col min="6888" max="6888" width="7" style="6" customWidth="1"/>
    <col min="6889" max="6889" width="10" style="6" customWidth="1"/>
    <col min="6890" max="6890" width="6.85546875" style="6" customWidth="1"/>
    <col min="6891" max="6891" width="7.140625" style="6" customWidth="1"/>
    <col min="6892" max="6893" width="8.85546875" style="6" customWidth="1"/>
    <col min="6894" max="7118" width="9.140625" style="6"/>
    <col min="7119" max="7119" width="40.28515625" style="6" customWidth="1"/>
    <col min="7120" max="7120" width="5.85546875" style="6" customWidth="1"/>
    <col min="7121" max="7121" width="40.28515625" style="6" customWidth="1"/>
    <col min="7122" max="7128" width="0" style="6" hidden="1" customWidth="1"/>
    <col min="7129" max="7129" width="8" style="6" customWidth="1"/>
    <col min="7130" max="7130" width="7" style="6" customWidth="1"/>
    <col min="7131" max="7131" width="10" style="6" customWidth="1"/>
    <col min="7132" max="7132" width="6.85546875" style="6" customWidth="1"/>
    <col min="7133" max="7133" width="7.140625" style="6" customWidth="1"/>
    <col min="7134" max="7134" width="9.140625" style="6"/>
    <col min="7135" max="7135" width="7" style="6" customWidth="1"/>
    <col min="7136" max="7136" width="8" style="6" customWidth="1"/>
    <col min="7137" max="7137" width="7" style="6" customWidth="1"/>
    <col min="7138" max="7138" width="10" style="6" customWidth="1"/>
    <col min="7139" max="7139" width="6.85546875" style="6" customWidth="1"/>
    <col min="7140" max="7140" width="7.140625" style="6" customWidth="1"/>
    <col min="7141" max="7142" width="8.85546875" style="6" customWidth="1"/>
    <col min="7143" max="7143" width="8" style="6" customWidth="1"/>
    <col min="7144" max="7144" width="7" style="6" customWidth="1"/>
    <col min="7145" max="7145" width="10" style="6" customWidth="1"/>
    <col min="7146" max="7146" width="6.85546875" style="6" customWidth="1"/>
    <col min="7147" max="7147" width="7.140625" style="6" customWidth="1"/>
    <col min="7148" max="7149" width="8.85546875" style="6" customWidth="1"/>
    <col min="7150" max="7374" width="9.140625" style="6"/>
    <col min="7375" max="7375" width="40.28515625" style="6" customWidth="1"/>
    <col min="7376" max="7376" width="5.85546875" style="6" customWidth="1"/>
    <col min="7377" max="7377" width="40.28515625" style="6" customWidth="1"/>
    <col min="7378" max="7384" width="0" style="6" hidden="1" customWidth="1"/>
    <col min="7385" max="7385" width="8" style="6" customWidth="1"/>
    <col min="7386" max="7386" width="7" style="6" customWidth="1"/>
    <col min="7387" max="7387" width="10" style="6" customWidth="1"/>
    <col min="7388" max="7388" width="6.85546875" style="6" customWidth="1"/>
    <col min="7389" max="7389" width="7.140625" style="6" customWidth="1"/>
    <col min="7390" max="7390" width="9.140625" style="6"/>
    <col min="7391" max="7391" width="7" style="6" customWidth="1"/>
    <col min="7392" max="7392" width="8" style="6" customWidth="1"/>
    <col min="7393" max="7393" width="7" style="6" customWidth="1"/>
    <col min="7394" max="7394" width="10" style="6" customWidth="1"/>
    <col min="7395" max="7395" width="6.85546875" style="6" customWidth="1"/>
    <col min="7396" max="7396" width="7.140625" style="6" customWidth="1"/>
    <col min="7397" max="7398" width="8.85546875" style="6" customWidth="1"/>
    <col min="7399" max="7399" width="8" style="6" customWidth="1"/>
    <col min="7400" max="7400" width="7" style="6" customWidth="1"/>
    <col min="7401" max="7401" width="10" style="6" customWidth="1"/>
    <col min="7402" max="7402" width="6.85546875" style="6" customWidth="1"/>
    <col min="7403" max="7403" width="7.140625" style="6" customWidth="1"/>
    <col min="7404" max="7405" width="8.85546875" style="6" customWidth="1"/>
    <col min="7406" max="7630" width="9.140625" style="6"/>
    <col min="7631" max="7631" width="40.28515625" style="6" customWidth="1"/>
    <col min="7632" max="7632" width="5.85546875" style="6" customWidth="1"/>
    <col min="7633" max="7633" width="40.28515625" style="6" customWidth="1"/>
    <col min="7634" max="7640" width="0" style="6" hidden="1" customWidth="1"/>
    <col min="7641" max="7641" width="8" style="6" customWidth="1"/>
    <col min="7642" max="7642" width="7" style="6" customWidth="1"/>
    <col min="7643" max="7643" width="10" style="6" customWidth="1"/>
    <col min="7644" max="7644" width="6.85546875" style="6" customWidth="1"/>
    <col min="7645" max="7645" width="7.140625" style="6" customWidth="1"/>
    <col min="7646" max="7646" width="9.140625" style="6"/>
    <col min="7647" max="7647" width="7" style="6" customWidth="1"/>
    <col min="7648" max="7648" width="8" style="6" customWidth="1"/>
    <col min="7649" max="7649" width="7" style="6" customWidth="1"/>
    <col min="7650" max="7650" width="10" style="6" customWidth="1"/>
    <col min="7651" max="7651" width="6.85546875" style="6" customWidth="1"/>
    <col min="7652" max="7652" width="7.140625" style="6" customWidth="1"/>
    <col min="7653" max="7654" width="8.85546875" style="6" customWidth="1"/>
    <col min="7655" max="7655" width="8" style="6" customWidth="1"/>
    <col min="7656" max="7656" width="7" style="6" customWidth="1"/>
    <col min="7657" max="7657" width="10" style="6" customWidth="1"/>
    <col min="7658" max="7658" width="6.85546875" style="6" customWidth="1"/>
    <col min="7659" max="7659" width="7.140625" style="6" customWidth="1"/>
    <col min="7660" max="7661" width="8.85546875" style="6" customWidth="1"/>
    <col min="7662" max="7886" width="9.140625" style="6"/>
    <col min="7887" max="7887" width="40.28515625" style="6" customWidth="1"/>
    <col min="7888" max="7888" width="5.85546875" style="6" customWidth="1"/>
    <col min="7889" max="7889" width="40.28515625" style="6" customWidth="1"/>
    <col min="7890" max="7896" width="0" style="6" hidden="1" customWidth="1"/>
    <col min="7897" max="7897" width="8" style="6" customWidth="1"/>
    <col min="7898" max="7898" width="7" style="6" customWidth="1"/>
    <col min="7899" max="7899" width="10" style="6" customWidth="1"/>
    <col min="7900" max="7900" width="6.85546875" style="6" customWidth="1"/>
    <col min="7901" max="7901" width="7.140625" style="6" customWidth="1"/>
    <col min="7902" max="7902" width="9.140625" style="6"/>
    <col min="7903" max="7903" width="7" style="6" customWidth="1"/>
    <col min="7904" max="7904" width="8" style="6" customWidth="1"/>
    <col min="7905" max="7905" width="7" style="6" customWidth="1"/>
    <col min="7906" max="7906" width="10" style="6" customWidth="1"/>
    <col min="7907" max="7907" width="6.85546875" style="6" customWidth="1"/>
    <col min="7908" max="7908" width="7.140625" style="6" customWidth="1"/>
    <col min="7909" max="7910" width="8.85546875" style="6" customWidth="1"/>
    <col min="7911" max="7911" width="8" style="6" customWidth="1"/>
    <col min="7912" max="7912" width="7" style="6" customWidth="1"/>
    <col min="7913" max="7913" width="10" style="6" customWidth="1"/>
    <col min="7914" max="7914" width="6.85546875" style="6" customWidth="1"/>
    <col min="7915" max="7915" width="7.140625" style="6" customWidth="1"/>
    <col min="7916" max="7917" width="8.85546875" style="6" customWidth="1"/>
    <col min="7918" max="8142" width="9.140625" style="6"/>
    <col min="8143" max="8143" width="40.28515625" style="6" customWidth="1"/>
    <col min="8144" max="8144" width="5.85546875" style="6" customWidth="1"/>
    <col min="8145" max="8145" width="40.28515625" style="6" customWidth="1"/>
    <col min="8146" max="8152" width="0" style="6" hidden="1" customWidth="1"/>
    <col min="8153" max="8153" width="8" style="6" customWidth="1"/>
    <col min="8154" max="8154" width="7" style="6" customWidth="1"/>
    <col min="8155" max="8155" width="10" style="6" customWidth="1"/>
    <col min="8156" max="8156" width="6.85546875" style="6" customWidth="1"/>
    <col min="8157" max="8157" width="7.140625" style="6" customWidth="1"/>
    <col min="8158" max="8158" width="9.140625" style="6"/>
    <col min="8159" max="8159" width="7" style="6" customWidth="1"/>
    <col min="8160" max="8160" width="8" style="6" customWidth="1"/>
    <col min="8161" max="8161" width="7" style="6" customWidth="1"/>
    <col min="8162" max="8162" width="10" style="6" customWidth="1"/>
    <col min="8163" max="8163" width="6.85546875" style="6" customWidth="1"/>
    <col min="8164" max="8164" width="7.140625" style="6" customWidth="1"/>
    <col min="8165" max="8166" width="8.85546875" style="6" customWidth="1"/>
    <col min="8167" max="8167" width="8" style="6" customWidth="1"/>
    <col min="8168" max="8168" width="7" style="6" customWidth="1"/>
    <col min="8169" max="8169" width="10" style="6" customWidth="1"/>
    <col min="8170" max="8170" width="6.85546875" style="6" customWidth="1"/>
    <col min="8171" max="8171" width="7.140625" style="6" customWidth="1"/>
    <col min="8172" max="8173" width="8.85546875" style="6" customWidth="1"/>
    <col min="8174" max="8398" width="9.140625" style="6"/>
    <col min="8399" max="8399" width="40.28515625" style="6" customWidth="1"/>
    <col min="8400" max="8400" width="5.85546875" style="6" customWidth="1"/>
    <col min="8401" max="8401" width="40.28515625" style="6" customWidth="1"/>
    <col min="8402" max="8408" width="0" style="6" hidden="1" customWidth="1"/>
    <col min="8409" max="8409" width="8" style="6" customWidth="1"/>
    <col min="8410" max="8410" width="7" style="6" customWidth="1"/>
    <col min="8411" max="8411" width="10" style="6" customWidth="1"/>
    <col min="8412" max="8412" width="6.85546875" style="6" customWidth="1"/>
    <col min="8413" max="8413" width="7.140625" style="6" customWidth="1"/>
    <col min="8414" max="8414" width="9.140625" style="6"/>
    <col min="8415" max="8415" width="7" style="6" customWidth="1"/>
    <col min="8416" max="8416" width="8" style="6" customWidth="1"/>
    <col min="8417" max="8417" width="7" style="6" customWidth="1"/>
    <col min="8418" max="8418" width="10" style="6" customWidth="1"/>
    <col min="8419" max="8419" width="6.85546875" style="6" customWidth="1"/>
    <col min="8420" max="8420" width="7.140625" style="6" customWidth="1"/>
    <col min="8421" max="8422" width="8.85546875" style="6" customWidth="1"/>
    <col min="8423" max="8423" width="8" style="6" customWidth="1"/>
    <col min="8424" max="8424" width="7" style="6" customWidth="1"/>
    <col min="8425" max="8425" width="10" style="6" customWidth="1"/>
    <col min="8426" max="8426" width="6.85546875" style="6" customWidth="1"/>
    <col min="8427" max="8427" width="7.140625" style="6" customWidth="1"/>
    <col min="8428" max="8429" width="8.85546875" style="6" customWidth="1"/>
    <col min="8430" max="8654" width="9.140625" style="6"/>
    <col min="8655" max="8655" width="40.28515625" style="6" customWidth="1"/>
    <col min="8656" max="8656" width="5.85546875" style="6" customWidth="1"/>
    <col min="8657" max="8657" width="40.28515625" style="6" customWidth="1"/>
    <col min="8658" max="8664" width="0" style="6" hidden="1" customWidth="1"/>
    <col min="8665" max="8665" width="8" style="6" customWidth="1"/>
    <col min="8666" max="8666" width="7" style="6" customWidth="1"/>
    <col min="8667" max="8667" width="10" style="6" customWidth="1"/>
    <col min="8668" max="8668" width="6.85546875" style="6" customWidth="1"/>
    <col min="8669" max="8669" width="7.140625" style="6" customWidth="1"/>
    <col min="8670" max="8670" width="9.140625" style="6"/>
    <col min="8671" max="8671" width="7" style="6" customWidth="1"/>
    <col min="8672" max="8672" width="8" style="6" customWidth="1"/>
    <col min="8673" max="8673" width="7" style="6" customWidth="1"/>
    <col min="8674" max="8674" width="10" style="6" customWidth="1"/>
    <col min="8675" max="8675" width="6.85546875" style="6" customWidth="1"/>
    <col min="8676" max="8676" width="7.140625" style="6" customWidth="1"/>
    <col min="8677" max="8678" width="8.85546875" style="6" customWidth="1"/>
    <col min="8679" max="8679" width="8" style="6" customWidth="1"/>
    <col min="8680" max="8680" width="7" style="6" customWidth="1"/>
    <col min="8681" max="8681" width="10" style="6" customWidth="1"/>
    <col min="8682" max="8682" width="6.85546875" style="6" customWidth="1"/>
    <col min="8683" max="8683" width="7.140625" style="6" customWidth="1"/>
    <col min="8684" max="8685" width="8.85546875" style="6" customWidth="1"/>
    <col min="8686" max="8910" width="9.140625" style="6"/>
    <col min="8911" max="8911" width="40.28515625" style="6" customWidth="1"/>
    <col min="8912" max="8912" width="5.85546875" style="6" customWidth="1"/>
    <col min="8913" max="8913" width="40.28515625" style="6" customWidth="1"/>
    <col min="8914" max="8920" width="0" style="6" hidden="1" customWidth="1"/>
    <col min="8921" max="8921" width="8" style="6" customWidth="1"/>
    <col min="8922" max="8922" width="7" style="6" customWidth="1"/>
    <col min="8923" max="8923" width="10" style="6" customWidth="1"/>
    <col min="8924" max="8924" width="6.85546875" style="6" customWidth="1"/>
    <col min="8925" max="8925" width="7.140625" style="6" customWidth="1"/>
    <col min="8926" max="8926" width="9.140625" style="6"/>
    <col min="8927" max="8927" width="7" style="6" customWidth="1"/>
    <col min="8928" max="8928" width="8" style="6" customWidth="1"/>
    <col min="8929" max="8929" width="7" style="6" customWidth="1"/>
    <col min="8930" max="8930" width="10" style="6" customWidth="1"/>
    <col min="8931" max="8931" width="6.85546875" style="6" customWidth="1"/>
    <col min="8932" max="8932" width="7.140625" style="6" customWidth="1"/>
    <col min="8933" max="8934" width="8.85546875" style="6" customWidth="1"/>
    <col min="8935" max="8935" width="8" style="6" customWidth="1"/>
    <col min="8936" max="8936" width="7" style="6" customWidth="1"/>
    <col min="8937" max="8937" width="10" style="6" customWidth="1"/>
    <col min="8938" max="8938" width="6.85546875" style="6" customWidth="1"/>
    <col min="8939" max="8939" width="7.140625" style="6" customWidth="1"/>
    <col min="8940" max="8941" width="8.85546875" style="6" customWidth="1"/>
    <col min="8942" max="9166" width="9.140625" style="6"/>
    <col min="9167" max="9167" width="40.28515625" style="6" customWidth="1"/>
    <col min="9168" max="9168" width="5.85546875" style="6" customWidth="1"/>
    <col min="9169" max="9169" width="40.28515625" style="6" customWidth="1"/>
    <col min="9170" max="9176" width="0" style="6" hidden="1" customWidth="1"/>
    <col min="9177" max="9177" width="8" style="6" customWidth="1"/>
    <col min="9178" max="9178" width="7" style="6" customWidth="1"/>
    <col min="9179" max="9179" width="10" style="6" customWidth="1"/>
    <col min="9180" max="9180" width="6.85546875" style="6" customWidth="1"/>
    <col min="9181" max="9181" width="7.140625" style="6" customWidth="1"/>
    <col min="9182" max="9182" width="9.140625" style="6"/>
    <col min="9183" max="9183" width="7" style="6" customWidth="1"/>
    <col min="9184" max="9184" width="8" style="6" customWidth="1"/>
    <col min="9185" max="9185" width="7" style="6" customWidth="1"/>
    <col min="9186" max="9186" width="10" style="6" customWidth="1"/>
    <col min="9187" max="9187" width="6.85546875" style="6" customWidth="1"/>
    <col min="9188" max="9188" width="7.140625" style="6" customWidth="1"/>
    <col min="9189" max="9190" width="8.85546875" style="6" customWidth="1"/>
    <col min="9191" max="9191" width="8" style="6" customWidth="1"/>
    <col min="9192" max="9192" width="7" style="6" customWidth="1"/>
    <col min="9193" max="9193" width="10" style="6" customWidth="1"/>
    <col min="9194" max="9194" width="6.85546875" style="6" customWidth="1"/>
    <col min="9195" max="9195" width="7.140625" style="6" customWidth="1"/>
    <col min="9196" max="9197" width="8.85546875" style="6" customWidth="1"/>
    <col min="9198" max="9422" width="9.140625" style="6"/>
    <col min="9423" max="9423" width="40.28515625" style="6" customWidth="1"/>
    <col min="9424" max="9424" width="5.85546875" style="6" customWidth="1"/>
    <col min="9425" max="9425" width="40.28515625" style="6" customWidth="1"/>
    <col min="9426" max="9432" width="0" style="6" hidden="1" customWidth="1"/>
    <col min="9433" max="9433" width="8" style="6" customWidth="1"/>
    <col min="9434" max="9434" width="7" style="6" customWidth="1"/>
    <col min="9435" max="9435" width="10" style="6" customWidth="1"/>
    <col min="9436" max="9436" width="6.85546875" style="6" customWidth="1"/>
    <col min="9437" max="9437" width="7.140625" style="6" customWidth="1"/>
    <col min="9438" max="9438" width="9.140625" style="6"/>
    <col min="9439" max="9439" width="7" style="6" customWidth="1"/>
    <col min="9440" max="9440" width="8" style="6" customWidth="1"/>
    <col min="9441" max="9441" width="7" style="6" customWidth="1"/>
    <col min="9442" max="9442" width="10" style="6" customWidth="1"/>
    <col min="9443" max="9443" width="6.85546875" style="6" customWidth="1"/>
    <col min="9444" max="9444" width="7.140625" style="6" customWidth="1"/>
    <col min="9445" max="9446" width="8.85546875" style="6" customWidth="1"/>
    <col min="9447" max="9447" width="8" style="6" customWidth="1"/>
    <col min="9448" max="9448" width="7" style="6" customWidth="1"/>
    <col min="9449" max="9449" width="10" style="6" customWidth="1"/>
    <col min="9450" max="9450" width="6.85546875" style="6" customWidth="1"/>
    <col min="9451" max="9451" width="7.140625" style="6" customWidth="1"/>
    <col min="9452" max="9453" width="8.85546875" style="6" customWidth="1"/>
    <col min="9454" max="9678" width="9.140625" style="6"/>
    <col min="9679" max="9679" width="40.28515625" style="6" customWidth="1"/>
    <col min="9680" max="9680" width="5.85546875" style="6" customWidth="1"/>
    <col min="9681" max="9681" width="40.28515625" style="6" customWidth="1"/>
    <col min="9682" max="9688" width="0" style="6" hidden="1" customWidth="1"/>
    <col min="9689" max="9689" width="8" style="6" customWidth="1"/>
    <col min="9690" max="9690" width="7" style="6" customWidth="1"/>
    <col min="9691" max="9691" width="10" style="6" customWidth="1"/>
    <col min="9692" max="9692" width="6.85546875" style="6" customWidth="1"/>
    <col min="9693" max="9693" width="7.140625" style="6" customWidth="1"/>
    <col min="9694" max="9694" width="9.140625" style="6"/>
    <col min="9695" max="9695" width="7" style="6" customWidth="1"/>
    <col min="9696" max="9696" width="8" style="6" customWidth="1"/>
    <col min="9697" max="9697" width="7" style="6" customWidth="1"/>
    <col min="9698" max="9698" width="10" style="6" customWidth="1"/>
    <col min="9699" max="9699" width="6.85546875" style="6" customWidth="1"/>
    <col min="9700" max="9700" width="7.140625" style="6" customWidth="1"/>
    <col min="9701" max="9702" width="8.85546875" style="6" customWidth="1"/>
    <col min="9703" max="9703" width="8" style="6" customWidth="1"/>
    <col min="9704" max="9704" width="7" style="6" customWidth="1"/>
    <col min="9705" max="9705" width="10" style="6" customWidth="1"/>
    <col min="9706" max="9706" width="6.85546875" style="6" customWidth="1"/>
    <col min="9707" max="9707" width="7.140625" style="6" customWidth="1"/>
    <col min="9708" max="9709" width="8.85546875" style="6" customWidth="1"/>
    <col min="9710" max="9934" width="9.140625" style="6"/>
    <col min="9935" max="9935" width="40.28515625" style="6" customWidth="1"/>
    <col min="9936" max="9936" width="5.85546875" style="6" customWidth="1"/>
    <col min="9937" max="9937" width="40.28515625" style="6" customWidth="1"/>
    <col min="9938" max="9944" width="0" style="6" hidden="1" customWidth="1"/>
    <col min="9945" max="9945" width="8" style="6" customWidth="1"/>
    <col min="9946" max="9946" width="7" style="6" customWidth="1"/>
    <col min="9947" max="9947" width="10" style="6" customWidth="1"/>
    <col min="9948" max="9948" width="6.85546875" style="6" customWidth="1"/>
    <col min="9949" max="9949" width="7.140625" style="6" customWidth="1"/>
    <col min="9950" max="9950" width="9.140625" style="6"/>
    <col min="9951" max="9951" width="7" style="6" customWidth="1"/>
    <col min="9952" max="9952" width="8" style="6" customWidth="1"/>
    <col min="9953" max="9953" width="7" style="6" customWidth="1"/>
    <col min="9954" max="9954" width="10" style="6" customWidth="1"/>
    <col min="9955" max="9955" width="6.85546875" style="6" customWidth="1"/>
    <col min="9956" max="9956" width="7.140625" style="6" customWidth="1"/>
    <col min="9957" max="9958" width="8.85546875" style="6" customWidth="1"/>
    <col min="9959" max="9959" width="8" style="6" customWidth="1"/>
    <col min="9960" max="9960" width="7" style="6" customWidth="1"/>
    <col min="9961" max="9961" width="10" style="6" customWidth="1"/>
    <col min="9962" max="9962" width="6.85546875" style="6" customWidth="1"/>
    <col min="9963" max="9963" width="7.140625" style="6" customWidth="1"/>
    <col min="9964" max="9965" width="8.85546875" style="6" customWidth="1"/>
    <col min="9966" max="10190" width="9.140625" style="6"/>
    <col min="10191" max="10191" width="40.28515625" style="6" customWidth="1"/>
    <col min="10192" max="10192" width="5.85546875" style="6" customWidth="1"/>
    <col min="10193" max="10193" width="40.28515625" style="6" customWidth="1"/>
    <col min="10194" max="10200" width="0" style="6" hidden="1" customWidth="1"/>
    <col min="10201" max="10201" width="8" style="6" customWidth="1"/>
    <col min="10202" max="10202" width="7" style="6" customWidth="1"/>
    <col min="10203" max="10203" width="10" style="6" customWidth="1"/>
    <col min="10204" max="10204" width="6.85546875" style="6" customWidth="1"/>
    <col min="10205" max="10205" width="7.140625" style="6" customWidth="1"/>
    <col min="10206" max="10206" width="9.140625" style="6"/>
    <col min="10207" max="10207" width="7" style="6" customWidth="1"/>
    <col min="10208" max="10208" width="8" style="6" customWidth="1"/>
    <col min="10209" max="10209" width="7" style="6" customWidth="1"/>
    <col min="10210" max="10210" width="10" style="6" customWidth="1"/>
    <col min="10211" max="10211" width="6.85546875" style="6" customWidth="1"/>
    <col min="10212" max="10212" width="7.140625" style="6" customWidth="1"/>
    <col min="10213" max="10214" width="8.85546875" style="6" customWidth="1"/>
    <col min="10215" max="10215" width="8" style="6" customWidth="1"/>
    <col min="10216" max="10216" width="7" style="6" customWidth="1"/>
    <col min="10217" max="10217" width="10" style="6" customWidth="1"/>
    <col min="10218" max="10218" width="6.85546875" style="6" customWidth="1"/>
    <col min="10219" max="10219" width="7.140625" style="6" customWidth="1"/>
    <col min="10220" max="10221" width="8.85546875" style="6" customWidth="1"/>
    <col min="10222" max="10446" width="9.140625" style="6"/>
    <col min="10447" max="10447" width="40.28515625" style="6" customWidth="1"/>
    <col min="10448" max="10448" width="5.85546875" style="6" customWidth="1"/>
    <col min="10449" max="10449" width="40.28515625" style="6" customWidth="1"/>
    <col min="10450" max="10456" width="0" style="6" hidden="1" customWidth="1"/>
    <col min="10457" max="10457" width="8" style="6" customWidth="1"/>
    <col min="10458" max="10458" width="7" style="6" customWidth="1"/>
    <col min="10459" max="10459" width="10" style="6" customWidth="1"/>
    <col min="10460" max="10460" width="6.85546875" style="6" customWidth="1"/>
    <col min="10461" max="10461" width="7.140625" style="6" customWidth="1"/>
    <col min="10462" max="10462" width="9.140625" style="6"/>
    <col min="10463" max="10463" width="7" style="6" customWidth="1"/>
    <col min="10464" max="10464" width="8" style="6" customWidth="1"/>
    <col min="10465" max="10465" width="7" style="6" customWidth="1"/>
    <col min="10466" max="10466" width="10" style="6" customWidth="1"/>
    <col min="10467" max="10467" width="6.85546875" style="6" customWidth="1"/>
    <col min="10468" max="10468" width="7.140625" style="6" customWidth="1"/>
    <col min="10469" max="10470" width="8.85546875" style="6" customWidth="1"/>
    <col min="10471" max="10471" width="8" style="6" customWidth="1"/>
    <col min="10472" max="10472" width="7" style="6" customWidth="1"/>
    <col min="10473" max="10473" width="10" style="6" customWidth="1"/>
    <col min="10474" max="10474" width="6.85546875" style="6" customWidth="1"/>
    <col min="10475" max="10475" width="7.140625" style="6" customWidth="1"/>
    <col min="10476" max="10477" width="8.85546875" style="6" customWidth="1"/>
    <col min="10478" max="10702" width="9.140625" style="6"/>
    <col min="10703" max="10703" width="40.28515625" style="6" customWidth="1"/>
    <col min="10704" max="10704" width="5.85546875" style="6" customWidth="1"/>
    <col min="10705" max="10705" width="40.28515625" style="6" customWidth="1"/>
    <col min="10706" max="10712" width="0" style="6" hidden="1" customWidth="1"/>
    <col min="10713" max="10713" width="8" style="6" customWidth="1"/>
    <col min="10714" max="10714" width="7" style="6" customWidth="1"/>
    <col min="10715" max="10715" width="10" style="6" customWidth="1"/>
    <col min="10716" max="10716" width="6.85546875" style="6" customWidth="1"/>
    <col min="10717" max="10717" width="7.140625" style="6" customWidth="1"/>
    <col min="10718" max="10718" width="9.140625" style="6"/>
    <col min="10719" max="10719" width="7" style="6" customWidth="1"/>
    <col min="10720" max="10720" width="8" style="6" customWidth="1"/>
    <col min="10721" max="10721" width="7" style="6" customWidth="1"/>
    <col min="10722" max="10722" width="10" style="6" customWidth="1"/>
    <col min="10723" max="10723" width="6.85546875" style="6" customWidth="1"/>
    <col min="10724" max="10724" width="7.140625" style="6" customWidth="1"/>
    <col min="10725" max="10726" width="8.85546875" style="6" customWidth="1"/>
    <col min="10727" max="10727" width="8" style="6" customWidth="1"/>
    <col min="10728" max="10728" width="7" style="6" customWidth="1"/>
    <col min="10729" max="10729" width="10" style="6" customWidth="1"/>
    <col min="10730" max="10730" width="6.85546875" style="6" customWidth="1"/>
    <col min="10731" max="10731" width="7.140625" style="6" customWidth="1"/>
    <col min="10732" max="10733" width="8.85546875" style="6" customWidth="1"/>
    <col min="10734" max="10958" width="9.140625" style="6"/>
    <col min="10959" max="10959" width="40.28515625" style="6" customWidth="1"/>
    <col min="10960" max="10960" width="5.85546875" style="6" customWidth="1"/>
    <col min="10961" max="10961" width="40.28515625" style="6" customWidth="1"/>
    <col min="10962" max="10968" width="0" style="6" hidden="1" customWidth="1"/>
    <col min="10969" max="10969" width="8" style="6" customWidth="1"/>
    <col min="10970" max="10970" width="7" style="6" customWidth="1"/>
    <col min="10971" max="10971" width="10" style="6" customWidth="1"/>
    <col min="10972" max="10972" width="6.85546875" style="6" customWidth="1"/>
    <col min="10973" max="10973" width="7.140625" style="6" customWidth="1"/>
    <col min="10974" max="10974" width="9.140625" style="6"/>
    <col min="10975" max="10975" width="7" style="6" customWidth="1"/>
    <col min="10976" max="10976" width="8" style="6" customWidth="1"/>
    <col min="10977" max="10977" width="7" style="6" customWidth="1"/>
    <col min="10978" max="10978" width="10" style="6" customWidth="1"/>
    <col min="10979" max="10979" width="6.85546875" style="6" customWidth="1"/>
    <col min="10980" max="10980" width="7.140625" style="6" customWidth="1"/>
    <col min="10981" max="10982" width="8.85546875" style="6" customWidth="1"/>
    <col min="10983" max="10983" width="8" style="6" customWidth="1"/>
    <col min="10984" max="10984" width="7" style="6" customWidth="1"/>
    <col min="10985" max="10985" width="10" style="6" customWidth="1"/>
    <col min="10986" max="10986" width="6.85546875" style="6" customWidth="1"/>
    <col min="10987" max="10987" width="7.140625" style="6" customWidth="1"/>
    <col min="10988" max="10989" width="8.85546875" style="6" customWidth="1"/>
    <col min="10990" max="11214" width="9.140625" style="6"/>
    <col min="11215" max="11215" width="40.28515625" style="6" customWidth="1"/>
    <col min="11216" max="11216" width="5.85546875" style="6" customWidth="1"/>
    <col min="11217" max="11217" width="40.28515625" style="6" customWidth="1"/>
    <col min="11218" max="11224" width="0" style="6" hidden="1" customWidth="1"/>
    <col min="11225" max="11225" width="8" style="6" customWidth="1"/>
    <col min="11226" max="11226" width="7" style="6" customWidth="1"/>
    <col min="11227" max="11227" width="10" style="6" customWidth="1"/>
    <col min="11228" max="11228" width="6.85546875" style="6" customWidth="1"/>
    <col min="11229" max="11229" width="7.140625" style="6" customWidth="1"/>
    <col min="11230" max="11230" width="9.140625" style="6"/>
    <col min="11231" max="11231" width="7" style="6" customWidth="1"/>
    <col min="11232" max="11232" width="8" style="6" customWidth="1"/>
    <col min="11233" max="11233" width="7" style="6" customWidth="1"/>
    <col min="11234" max="11234" width="10" style="6" customWidth="1"/>
    <col min="11235" max="11235" width="6.85546875" style="6" customWidth="1"/>
    <col min="11236" max="11236" width="7.140625" style="6" customWidth="1"/>
    <col min="11237" max="11238" width="8.85546875" style="6" customWidth="1"/>
    <col min="11239" max="11239" width="8" style="6" customWidth="1"/>
    <col min="11240" max="11240" width="7" style="6" customWidth="1"/>
    <col min="11241" max="11241" width="10" style="6" customWidth="1"/>
    <col min="11242" max="11242" width="6.85546875" style="6" customWidth="1"/>
    <col min="11243" max="11243" width="7.140625" style="6" customWidth="1"/>
    <col min="11244" max="11245" width="8.85546875" style="6" customWidth="1"/>
    <col min="11246" max="11470" width="9.140625" style="6"/>
    <col min="11471" max="11471" width="40.28515625" style="6" customWidth="1"/>
    <col min="11472" max="11472" width="5.85546875" style="6" customWidth="1"/>
    <col min="11473" max="11473" width="40.28515625" style="6" customWidth="1"/>
    <col min="11474" max="11480" width="0" style="6" hidden="1" customWidth="1"/>
    <col min="11481" max="11481" width="8" style="6" customWidth="1"/>
    <col min="11482" max="11482" width="7" style="6" customWidth="1"/>
    <col min="11483" max="11483" width="10" style="6" customWidth="1"/>
    <col min="11484" max="11484" width="6.85546875" style="6" customWidth="1"/>
    <col min="11485" max="11485" width="7.140625" style="6" customWidth="1"/>
    <col min="11486" max="11486" width="9.140625" style="6"/>
    <col min="11487" max="11487" width="7" style="6" customWidth="1"/>
    <col min="11488" max="11488" width="8" style="6" customWidth="1"/>
    <col min="11489" max="11489" width="7" style="6" customWidth="1"/>
    <col min="11490" max="11490" width="10" style="6" customWidth="1"/>
    <col min="11491" max="11491" width="6.85546875" style="6" customWidth="1"/>
    <col min="11492" max="11492" width="7.140625" style="6" customWidth="1"/>
    <col min="11493" max="11494" width="8.85546875" style="6" customWidth="1"/>
    <col min="11495" max="11495" width="8" style="6" customWidth="1"/>
    <col min="11496" max="11496" width="7" style="6" customWidth="1"/>
    <col min="11497" max="11497" width="10" style="6" customWidth="1"/>
    <col min="11498" max="11498" width="6.85546875" style="6" customWidth="1"/>
    <col min="11499" max="11499" width="7.140625" style="6" customWidth="1"/>
    <col min="11500" max="11501" width="8.85546875" style="6" customWidth="1"/>
    <col min="11502" max="11726" width="9.140625" style="6"/>
    <col min="11727" max="11727" width="40.28515625" style="6" customWidth="1"/>
    <col min="11728" max="11728" width="5.85546875" style="6" customWidth="1"/>
    <col min="11729" max="11729" width="40.28515625" style="6" customWidth="1"/>
    <col min="11730" max="11736" width="0" style="6" hidden="1" customWidth="1"/>
    <col min="11737" max="11737" width="8" style="6" customWidth="1"/>
    <col min="11738" max="11738" width="7" style="6" customWidth="1"/>
    <col min="11739" max="11739" width="10" style="6" customWidth="1"/>
    <col min="11740" max="11740" width="6.85546875" style="6" customWidth="1"/>
    <col min="11741" max="11741" width="7.140625" style="6" customWidth="1"/>
    <col min="11742" max="11742" width="9.140625" style="6"/>
    <col min="11743" max="11743" width="7" style="6" customWidth="1"/>
    <col min="11744" max="11744" width="8" style="6" customWidth="1"/>
    <col min="11745" max="11745" width="7" style="6" customWidth="1"/>
    <col min="11746" max="11746" width="10" style="6" customWidth="1"/>
    <col min="11747" max="11747" width="6.85546875" style="6" customWidth="1"/>
    <col min="11748" max="11748" width="7.140625" style="6" customWidth="1"/>
    <col min="11749" max="11750" width="8.85546875" style="6" customWidth="1"/>
    <col min="11751" max="11751" width="8" style="6" customWidth="1"/>
    <col min="11752" max="11752" width="7" style="6" customWidth="1"/>
    <col min="11753" max="11753" width="10" style="6" customWidth="1"/>
    <col min="11754" max="11754" width="6.85546875" style="6" customWidth="1"/>
    <col min="11755" max="11755" width="7.140625" style="6" customWidth="1"/>
    <col min="11756" max="11757" width="8.85546875" style="6" customWidth="1"/>
    <col min="11758" max="11982" width="9.140625" style="6"/>
    <col min="11983" max="11983" width="40.28515625" style="6" customWidth="1"/>
    <col min="11984" max="11984" width="5.85546875" style="6" customWidth="1"/>
    <col min="11985" max="11985" width="40.28515625" style="6" customWidth="1"/>
    <col min="11986" max="11992" width="0" style="6" hidden="1" customWidth="1"/>
    <col min="11993" max="11993" width="8" style="6" customWidth="1"/>
    <col min="11994" max="11994" width="7" style="6" customWidth="1"/>
    <col min="11995" max="11995" width="10" style="6" customWidth="1"/>
    <col min="11996" max="11996" width="6.85546875" style="6" customWidth="1"/>
    <col min="11997" max="11997" width="7.140625" style="6" customWidth="1"/>
    <col min="11998" max="11998" width="9.140625" style="6"/>
    <col min="11999" max="11999" width="7" style="6" customWidth="1"/>
    <col min="12000" max="12000" width="8" style="6" customWidth="1"/>
    <col min="12001" max="12001" width="7" style="6" customWidth="1"/>
    <col min="12002" max="12002" width="10" style="6" customWidth="1"/>
    <col min="12003" max="12003" width="6.85546875" style="6" customWidth="1"/>
    <col min="12004" max="12004" width="7.140625" style="6" customWidth="1"/>
    <col min="12005" max="12006" width="8.85546875" style="6" customWidth="1"/>
    <col min="12007" max="12007" width="8" style="6" customWidth="1"/>
    <col min="12008" max="12008" width="7" style="6" customWidth="1"/>
    <col min="12009" max="12009" width="10" style="6" customWidth="1"/>
    <col min="12010" max="12010" width="6.85546875" style="6" customWidth="1"/>
    <col min="12011" max="12011" width="7.140625" style="6" customWidth="1"/>
    <col min="12012" max="12013" width="8.85546875" style="6" customWidth="1"/>
    <col min="12014" max="12238" width="9.140625" style="6"/>
    <col min="12239" max="12239" width="40.28515625" style="6" customWidth="1"/>
    <col min="12240" max="12240" width="5.85546875" style="6" customWidth="1"/>
    <col min="12241" max="12241" width="40.28515625" style="6" customWidth="1"/>
    <col min="12242" max="12248" width="0" style="6" hidden="1" customWidth="1"/>
    <col min="12249" max="12249" width="8" style="6" customWidth="1"/>
    <col min="12250" max="12250" width="7" style="6" customWidth="1"/>
    <col min="12251" max="12251" width="10" style="6" customWidth="1"/>
    <col min="12252" max="12252" width="6.85546875" style="6" customWidth="1"/>
    <col min="12253" max="12253" width="7.140625" style="6" customWidth="1"/>
    <col min="12254" max="12254" width="9.140625" style="6"/>
    <col min="12255" max="12255" width="7" style="6" customWidth="1"/>
    <col min="12256" max="12256" width="8" style="6" customWidth="1"/>
    <col min="12257" max="12257" width="7" style="6" customWidth="1"/>
    <col min="12258" max="12258" width="10" style="6" customWidth="1"/>
    <col min="12259" max="12259" width="6.85546875" style="6" customWidth="1"/>
    <col min="12260" max="12260" width="7.140625" style="6" customWidth="1"/>
    <col min="12261" max="12262" width="8.85546875" style="6" customWidth="1"/>
    <col min="12263" max="12263" width="8" style="6" customWidth="1"/>
    <col min="12264" max="12264" width="7" style="6" customWidth="1"/>
    <col min="12265" max="12265" width="10" style="6" customWidth="1"/>
    <col min="12266" max="12266" width="6.85546875" style="6" customWidth="1"/>
    <col min="12267" max="12267" width="7.140625" style="6" customWidth="1"/>
    <col min="12268" max="12269" width="8.85546875" style="6" customWidth="1"/>
    <col min="12270" max="12494" width="9.140625" style="6"/>
    <col min="12495" max="12495" width="40.28515625" style="6" customWidth="1"/>
    <col min="12496" max="12496" width="5.85546875" style="6" customWidth="1"/>
    <col min="12497" max="12497" width="40.28515625" style="6" customWidth="1"/>
    <col min="12498" max="12504" width="0" style="6" hidden="1" customWidth="1"/>
    <col min="12505" max="12505" width="8" style="6" customWidth="1"/>
    <col min="12506" max="12506" width="7" style="6" customWidth="1"/>
    <col min="12507" max="12507" width="10" style="6" customWidth="1"/>
    <col min="12508" max="12508" width="6.85546875" style="6" customWidth="1"/>
    <col min="12509" max="12509" width="7.140625" style="6" customWidth="1"/>
    <col min="12510" max="12510" width="9.140625" style="6"/>
    <col min="12511" max="12511" width="7" style="6" customWidth="1"/>
    <col min="12512" max="12512" width="8" style="6" customWidth="1"/>
    <col min="12513" max="12513" width="7" style="6" customWidth="1"/>
    <col min="12514" max="12514" width="10" style="6" customWidth="1"/>
    <col min="12515" max="12515" width="6.85546875" style="6" customWidth="1"/>
    <col min="12516" max="12516" width="7.140625" style="6" customWidth="1"/>
    <col min="12517" max="12518" width="8.85546875" style="6" customWidth="1"/>
    <col min="12519" max="12519" width="8" style="6" customWidth="1"/>
    <col min="12520" max="12520" width="7" style="6" customWidth="1"/>
    <col min="12521" max="12521" width="10" style="6" customWidth="1"/>
    <col min="12522" max="12522" width="6.85546875" style="6" customWidth="1"/>
    <col min="12523" max="12523" width="7.140625" style="6" customWidth="1"/>
    <col min="12524" max="12525" width="8.85546875" style="6" customWidth="1"/>
    <col min="12526" max="12750" width="9.140625" style="6"/>
    <col min="12751" max="12751" width="40.28515625" style="6" customWidth="1"/>
    <col min="12752" max="12752" width="5.85546875" style="6" customWidth="1"/>
    <col min="12753" max="12753" width="40.28515625" style="6" customWidth="1"/>
    <col min="12754" max="12760" width="0" style="6" hidden="1" customWidth="1"/>
    <col min="12761" max="12761" width="8" style="6" customWidth="1"/>
    <col min="12762" max="12762" width="7" style="6" customWidth="1"/>
    <col min="12763" max="12763" width="10" style="6" customWidth="1"/>
    <col min="12764" max="12764" width="6.85546875" style="6" customWidth="1"/>
    <col min="12765" max="12765" width="7.140625" style="6" customWidth="1"/>
    <col min="12766" max="12766" width="9.140625" style="6"/>
    <col min="12767" max="12767" width="7" style="6" customWidth="1"/>
    <col min="12768" max="12768" width="8" style="6" customWidth="1"/>
    <col min="12769" max="12769" width="7" style="6" customWidth="1"/>
    <col min="12770" max="12770" width="10" style="6" customWidth="1"/>
    <col min="12771" max="12771" width="6.85546875" style="6" customWidth="1"/>
    <col min="12772" max="12772" width="7.140625" style="6" customWidth="1"/>
    <col min="12773" max="12774" width="8.85546875" style="6" customWidth="1"/>
    <col min="12775" max="12775" width="8" style="6" customWidth="1"/>
    <col min="12776" max="12776" width="7" style="6" customWidth="1"/>
    <col min="12777" max="12777" width="10" style="6" customWidth="1"/>
    <col min="12778" max="12778" width="6.85546875" style="6" customWidth="1"/>
    <col min="12779" max="12779" width="7.140625" style="6" customWidth="1"/>
    <col min="12780" max="12781" width="8.85546875" style="6" customWidth="1"/>
    <col min="12782" max="13006" width="9.140625" style="6"/>
    <col min="13007" max="13007" width="40.28515625" style="6" customWidth="1"/>
    <col min="13008" max="13008" width="5.85546875" style="6" customWidth="1"/>
    <col min="13009" max="13009" width="40.28515625" style="6" customWidth="1"/>
    <col min="13010" max="13016" width="0" style="6" hidden="1" customWidth="1"/>
    <col min="13017" max="13017" width="8" style="6" customWidth="1"/>
    <col min="13018" max="13018" width="7" style="6" customWidth="1"/>
    <col min="13019" max="13019" width="10" style="6" customWidth="1"/>
    <col min="13020" max="13020" width="6.85546875" style="6" customWidth="1"/>
    <col min="13021" max="13021" width="7.140625" style="6" customWidth="1"/>
    <col min="13022" max="13022" width="9.140625" style="6"/>
    <col min="13023" max="13023" width="7" style="6" customWidth="1"/>
    <col min="13024" max="13024" width="8" style="6" customWidth="1"/>
    <col min="13025" max="13025" width="7" style="6" customWidth="1"/>
    <col min="13026" max="13026" width="10" style="6" customWidth="1"/>
    <col min="13027" max="13027" width="6.85546875" style="6" customWidth="1"/>
    <col min="13028" max="13028" width="7.140625" style="6" customWidth="1"/>
    <col min="13029" max="13030" width="8.85546875" style="6" customWidth="1"/>
    <col min="13031" max="13031" width="8" style="6" customWidth="1"/>
    <col min="13032" max="13032" width="7" style="6" customWidth="1"/>
    <col min="13033" max="13033" width="10" style="6" customWidth="1"/>
    <col min="13034" max="13034" width="6.85546875" style="6" customWidth="1"/>
    <col min="13035" max="13035" width="7.140625" style="6" customWidth="1"/>
    <col min="13036" max="13037" width="8.85546875" style="6" customWidth="1"/>
    <col min="13038" max="13262" width="9.140625" style="6"/>
    <col min="13263" max="13263" width="40.28515625" style="6" customWidth="1"/>
    <col min="13264" max="13264" width="5.85546875" style="6" customWidth="1"/>
    <col min="13265" max="13265" width="40.28515625" style="6" customWidth="1"/>
    <col min="13266" max="13272" width="0" style="6" hidden="1" customWidth="1"/>
    <col min="13273" max="13273" width="8" style="6" customWidth="1"/>
    <col min="13274" max="13274" width="7" style="6" customWidth="1"/>
    <col min="13275" max="13275" width="10" style="6" customWidth="1"/>
    <col min="13276" max="13276" width="6.85546875" style="6" customWidth="1"/>
    <col min="13277" max="13277" width="7.140625" style="6" customWidth="1"/>
    <col min="13278" max="13278" width="9.140625" style="6"/>
    <col min="13279" max="13279" width="7" style="6" customWidth="1"/>
    <col min="13280" max="13280" width="8" style="6" customWidth="1"/>
    <col min="13281" max="13281" width="7" style="6" customWidth="1"/>
    <col min="13282" max="13282" width="10" style="6" customWidth="1"/>
    <col min="13283" max="13283" width="6.85546875" style="6" customWidth="1"/>
    <col min="13284" max="13284" width="7.140625" style="6" customWidth="1"/>
    <col min="13285" max="13286" width="8.85546875" style="6" customWidth="1"/>
    <col min="13287" max="13287" width="8" style="6" customWidth="1"/>
    <col min="13288" max="13288" width="7" style="6" customWidth="1"/>
    <col min="13289" max="13289" width="10" style="6" customWidth="1"/>
    <col min="13290" max="13290" width="6.85546875" style="6" customWidth="1"/>
    <col min="13291" max="13291" width="7.140625" style="6" customWidth="1"/>
    <col min="13292" max="13293" width="8.85546875" style="6" customWidth="1"/>
    <col min="13294" max="13518" width="9.140625" style="6"/>
    <col min="13519" max="13519" width="40.28515625" style="6" customWidth="1"/>
    <col min="13520" max="13520" width="5.85546875" style="6" customWidth="1"/>
    <col min="13521" max="13521" width="40.28515625" style="6" customWidth="1"/>
    <col min="13522" max="13528" width="0" style="6" hidden="1" customWidth="1"/>
    <col min="13529" max="13529" width="8" style="6" customWidth="1"/>
    <col min="13530" max="13530" width="7" style="6" customWidth="1"/>
    <col min="13531" max="13531" width="10" style="6" customWidth="1"/>
    <col min="13532" max="13532" width="6.85546875" style="6" customWidth="1"/>
    <col min="13533" max="13533" width="7.140625" style="6" customWidth="1"/>
    <col min="13534" max="13534" width="9.140625" style="6"/>
    <col min="13535" max="13535" width="7" style="6" customWidth="1"/>
    <col min="13536" max="13536" width="8" style="6" customWidth="1"/>
    <col min="13537" max="13537" width="7" style="6" customWidth="1"/>
    <col min="13538" max="13538" width="10" style="6" customWidth="1"/>
    <col min="13539" max="13539" width="6.85546875" style="6" customWidth="1"/>
    <col min="13540" max="13540" width="7.140625" style="6" customWidth="1"/>
    <col min="13541" max="13542" width="8.85546875" style="6" customWidth="1"/>
    <col min="13543" max="13543" width="8" style="6" customWidth="1"/>
    <col min="13544" max="13544" width="7" style="6" customWidth="1"/>
    <col min="13545" max="13545" width="10" style="6" customWidth="1"/>
    <col min="13546" max="13546" width="6.85546875" style="6" customWidth="1"/>
    <col min="13547" max="13547" width="7.140625" style="6" customWidth="1"/>
    <col min="13548" max="13549" width="8.85546875" style="6" customWidth="1"/>
    <col min="13550" max="13774" width="9.140625" style="6"/>
    <col min="13775" max="13775" width="40.28515625" style="6" customWidth="1"/>
    <col min="13776" max="13776" width="5.85546875" style="6" customWidth="1"/>
    <col min="13777" max="13777" width="40.28515625" style="6" customWidth="1"/>
    <col min="13778" max="13784" width="0" style="6" hidden="1" customWidth="1"/>
    <col min="13785" max="13785" width="8" style="6" customWidth="1"/>
    <col min="13786" max="13786" width="7" style="6" customWidth="1"/>
    <col min="13787" max="13787" width="10" style="6" customWidth="1"/>
    <col min="13788" max="13788" width="6.85546875" style="6" customWidth="1"/>
    <col min="13789" max="13789" width="7.140625" style="6" customWidth="1"/>
    <col min="13790" max="13790" width="9.140625" style="6"/>
    <col min="13791" max="13791" width="7" style="6" customWidth="1"/>
    <col min="13792" max="13792" width="8" style="6" customWidth="1"/>
    <col min="13793" max="13793" width="7" style="6" customWidth="1"/>
    <col min="13794" max="13794" width="10" style="6" customWidth="1"/>
    <col min="13795" max="13795" width="6.85546875" style="6" customWidth="1"/>
    <col min="13796" max="13796" width="7.140625" style="6" customWidth="1"/>
    <col min="13797" max="13798" width="8.85546875" style="6" customWidth="1"/>
    <col min="13799" max="13799" width="8" style="6" customWidth="1"/>
    <col min="13800" max="13800" width="7" style="6" customWidth="1"/>
    <col min="13801" max="13801" width="10" style="6" customWidth="1"/>
    <col min="13802" max="13802" width="6.85546875" style="6" customWidth="1"/>
    <col min="13803" max="13803" width="7.140625" style="6" customWidth="1"/>
    <col min="13804" max="13805" width="8.85546875" style="6" customWidth="1"/>
    <col min="13806" max="14030" width="9.140625" style="6"/>
    <col min="14031" max="14031" width="40.28515625" style="6" customWidth="1"/>
    <col min="14032" max="14032" width="5.85546875" style="6" customWidth="1"/>
    <col min="14033" max="14033" width="40.28515625" style="6" customWidth="1"/>
    <col min="14034" max="14040" width="0" style="6" hidden="1" customWidth="1"/>
    <col min="14041" max="14041" width="8" style="6" customWidth="1"/>
    <col min="14042" max="14042" width="7" style="6" customWidth="1"/>
    <col min="14043" max="14043" width="10" style="6" customWidth="1"/>
    <col min="14044" max="14044" width="6.85546875" style="6" customWidth="1"/>
    <col min="14045" max="14045" width="7.140625" style="6" customWidth="1"/>
    <col min="14046" max="14046" width="9.140625" style="6"/>
    <col min="14047" max="14047" width="7" style="6" customWidth="1"/>
    <col min="14048" max="14048" width="8" style="6" customWidth="1"/>
    <col min="14049" max="14049" width="7" style="6" customWidth="1"/>
    <col min="14050" max="14050" width="10" style="6" customWidth="1"/>
    <col min="14051" max="14051" width="6.85546875" style="6" customWidth="1"/>
    <col min="14052" max="14052" width="7.140625" style="6" customWidth="1"/>
    <col min="14053" max="14054" width="8.85546875" style="6" customWidth="1"/>
    <col min="14055" max="14055" width="8" style="6" customWidth="1"/>
    <col min="14056" max="14056" width="7" style="6" customWidth="1"/>
    <col min="14057" max="14057" width="10" style="6" customWidth="1"/>
    <col min="14058" max="14058" width="6.85546875" style="6" customWidth="1"/>
    <col min="14059" max="14059" width="7.140625" style="6" customWidth="1"/>
    <col min="14060" max="14061" width="8.85546875" style="6" customWidth="1"/>
    <col min="14062" max="14286" width="9.140625" style="6"/>
    <col min="14287" max="14287" width="40.28515625" style="6" customWidth="1"/>
    <col min="14288" max="14288" width="5.85546875" style="6" customWidth="1"/>
    <col min="14289" max="14289" width="40.28515625" style="6" customWidth="1"/>
    <col min="14290" max="14296" width="0" style="6" hidden="1" customWidth="1"/>
    <col min="14297" max="14297" width="8" style="6" customWidth="1"/>
    <col min="14298" max="14298" width="7" style="6" customWidth="1"/>
    <col min="14299" max="14299" width="10" style="6" customWidth="1"/>
    <col min="14300" max="14300" width="6.85546875" style="6" customWidth="1"/>
    <col min="14301" max="14301" width="7.140625" style="6" customWidth="1"/>
    <col min="14302" max="14302" width="9.140625" style="6"/>
    <col min="14303" max="14303" width="7" style="6" customWidth="1"/>
    <col min="14304" max="14304" width="8" style="6" customWidth="1"/>
    <col min="14305" max="14305" width="7" style="6" customWidth="1"/>
    <col min="14306" max="14306" width="10" style="6" customWidth="1"/>
    <col min="14307" max="14307" width="6.85546875" style="6" customWidth="1"/>
    <col min="14308" max="14308" width="7.140625" style="6" customWidth="1"/>
    <col min="14309" max="14310" width="8.85546875" style="6" customWidth="1"/>
    <col min="14311" max="14311" width="8" style="6" customWidth="1"/>
    <col min="14312" max="14312" width="7" style="6" customWidth="1"/>
    <col min="14313" max="14313" width="10" style="6" customWidth="1"/>
    <col min="14314" max="14314" width="6.85546875" style="6" customWidth="1"/>
    <col min="14315" max="14315" width="7.140625" style="6" customWidth="1"/>
    <col min="14316" max="14317" width="8.85546875" style="6" customWidth="1"/>
    <col min="14318" max="14542" width="9.140625" style="6"/>
    <col min="14543" max="14543" width="40.28515625" style="6" customWidth="1"/>
    <col min="14544" max="14544" width="5.85546875" style="6" customWidth="1"/>
    <col min="14545" max="14545" width="40.28515625" style="6" customWidth="1"/>
    <col min="14546" max="14552" width="0" style="6" hidden="1" customWidth="1"/>
    <col min="14553" max="14553" width="8" style="6" customWidth="1"/>
    <col min="14554" max="14554" width="7" style="6" customWidth="1"/>
    <col min="14555" max="14555" width="10" style="6" customWidth="1"/>
    <col min="14556" max="14556" width="6.85546875" style="6" customWidth="1"/>
    <col min="14557" max="14557" width="7.140625" style="6" customWidth="1"/>
    <col min="14558" max="14558" width="9.140625" style="6"/>
    <col min="14559" max="14559" width="7" style="6" customWidth="1"/>
    <col min="14560" max="14560" width="8" style="6" customWidth="1"/>
    <col min="14561" max="14561" width="7" style="6" customWidth="1"/>
    <col min="14562" max="14562" width="10" style="6" customWidth="1"/>
    <col min="14563" max="14563" width="6.85546875" style="6" customWidth="1"/>
    <col min="14564" max="14564" width="7.140625" style="6" customWidth="1"/>
    <col min="14565" max="14566" width="8.85546875" style="6" customWidth="1"/>
    <col min="14567" max="14567" width="8" style="6" customWidth="1"/>
    <col min="14568" max="14568" width="7" style="6" customWidth="1"/>
    <col min="14569" max="14569" width="10" style="6" customWidth="1"/>
    <col min="14570" max="14570" width="6.85546875" style="6" customWidth="1"/>
    <col min="14571" max="14571" width="7.140625" style="6" customWidth="1"/>
    <col min="14572" max="14573" width="8.85546875" style="6" customWidth="1"/>
    <col min="14574" max="14798" width="9.140625" style="6"/>
    <col min="14799" max="14799" width="40.28515625" style="6" customWidth="1"/>
    <col min="14800" max="14800" width="5.85546875" style="6" customWidth="1"/>
    <col min="14801" max="14801" width="40.28515625" style="6" customWidth="1"/>
    <col min="14802" max="14808" width="0" style="6" hidden="1" customWidth="1"/>
    <col min="14809" max="14809" width="8" style="6" customWidth="1"/>
    <col min="14810" max="14810" width="7" style="6" customWidth="1"/>
    <col min="14811" max="14811" width="10" style="6" customWidth="1"/>
    <col min="14812" max="14812" width="6.85546875" style="6" customWidth="1"/>
    <col min="14813" max="14813" width="7.140625" style="6" customWidth="1"/>
    <col min="14814" max="14814" width="9.140625" style="6"/>
    <col min="14815" max="14815" width="7" style="6" customWidth="1"/>
    <col min="14816" max="14816" width="8" style="6" customWidth="1"/>
    <col min="14817" max="14817" width="7" style="6" customWidth="1"/>
    <col min="14818" max="14818" width="10" style="6" customWidth="1"/>
    <col min="14819" max="14819" width="6.85546875" style="6" customWidth="1"/>
    <col min="14820" max="14820" width="7.140625" style="6" customWidth="1"/>
    <col min="14821" max="14822" width="8.85546875" style="6" customWidth="1"/>
    <col min="14823" max="14823" width="8" style="6" customWidth="1"/>
    <col min="14824" max="14824" width="7" style="6" customWidth="1"/>
    <col min="14825" max="14825" width="10" style="6" customWidth="1"/>
    <col min="14826" max="14826" width="6.85546875" style="6" customWidth="1"/>
    <col min="14827" max="14827" width="7.140625" style="6" customWidth="1"/>
    <col min="14828" max="14829" width="8.85546875" style="6" customWidth="1"/>
    <col min="14830" max="15054" width="9.140625" style="6"/>
    <col min="15055" max="15055" width="40.28515625" style="6" customWidth="1"/>
    <col min="15056" max="15056" width="5.85546875" style="6" customWidth="1"/>
    <col min="15057" max="15057" width="40.28515625" style="6" customWidth="1"/>
    <col min="15058" max="15064" width="0" style="6" hidden="1" customWidth="1"/>
    <col min="15065" max="15065" width="8" style="6" customWidth="1"/>
    <col min="15066" max="15066" width="7" style="6" customWidth="1"/>
    <col min="15067" max="15067" width="10" style="6" customWidth="1"/>
    <col min="15068" max="15068" width="6.85546875" style="6" customWidth="1"/>
    <col min="15069" max="15069" width="7.140625" style="6" customWidth="1"/>
    <col min="15070" max="15070" width="9.140625" style="6"/>
    <col min="15071" max="15071" width="7" style="6" customWidth="1"/>
    <col min="15072" max="15072" width="8" style="6" customWidth="1"/>
    <col min="15073" max="15073" width="7" style="6" customWidth="1"/>
    <col min="15074" max="15074" width="10" style="6" customWidth="1"/>
    <col min="15075" max="15075" width="6.85546875" style="6" customWidth="1"/>
    <col min="15076" max="15076" width="7.140625" style="6" customWidth="1"/>
    <col min="15077" max="15078" width="8.85546875" style="6" customWidth="1"/>
    <col min="15079" max="15079" width="8" style="6" customWidth="1"/>
    <col min="15080" max="15080" width="7" style="6" customWidth="1"/>
    <col min="15081" max="15081" width="10" style="6" customWidth="1"/>
    <col min="15082" max="15082" width="6.85546875" style="6" customWidth="1"/>
    <col min="15083" max="15083" width="7.140625" style="6" customWidth="1"/>
    <col min="15084" max="15085" width="8.85546875" style="6" customWidth="1"/>
    <col min="15086" max="15310" width="9.140625" style="6"/>
    <col min="15311" max="15311" width="40.28515625" style="6" customWidth="1"/>
    <col min="15312" max="15312" width="5.85546875" style="6" customWidth="1"/>
    <col min="15313" max="15313" width="40.28515625" style="6" customWidth="1"/>
    <col min="15314" max="15320" width="0" style="6" hidden="1" customWidth="1"/>
    <col min="15321" max="15321" width="8" style="6" customWidth="1"/>
    <col min="15322" max="15322" width="7" style="6" customWidth="1"/>
    <col min="15323" max="15323" width="10" style="6" customWidth="1"/>
    <col min="15324" max="15324" width="6.85546875" style="6" customWidth="1"/>
    <col min="15325" max="15325" width="7.140625" style="6" customWidth="1"/>
    <col min="15326" max="15326" width="9.140625" style="6"/>
    <col min="15327" max="15327" width="7" style="6" customWidth="1"/>
    <col min="15328" max="15328" width="8" style="6" customWidth="1"/>
    <col min="15329" max="15329" width="7" style="6" customWidth="1"/>
    <col min="15330" max="15330" width="10" style="6" customWidth="1"/>
    <col min="15331" max="15331" width="6.85546875" style="6" customWidth="1"/>
    <col min="15332" max="15332" width="7.140625" style="6" customWidth="1"/>
    <col min="15333" max="15334" width="8.85546875" style="6" customWidth="1"/>
    <col min="15335" max="15335" width="8" style="6" customWidth="1"/>
    <col min="15336" max="15336" width="7" style="6" customWidth="1"/>
    <col min="15337" max="15337" width="10" style="6" customWidth="1"/>
    <col min="15338" max="15338" width="6.85546875" style="6" customWidth="1"/>
    <col min="15339" max="15339" width="7.140625" style="6" customWidth="1"/>
    <col min="15340" max="15341" width="8.85546875" style="6" customWidth="1"/>
    <col min="15342" max="15566" width="9.140625" style="6"/>
    <col min="15567" max="15567" width="40.28515625" style="6" customWidth="1"/>
    <col min="15568" max="15568" width="5.85546875" style="6" customWidth="1"/>
    <col min="15569" max="15569" width="40.28515625" style="6" customWidth="1"/>
    <col min="15570" max="15576" width="0" style="6" hidden="1" customWidth="1"/>
    <col min="15577" max="15577" width="8" style="6" customWidth="1"/>
    <col min="15578" max="15578" width="7" style="6" customWidth="1"/>
    <col min="15579" max="15579" width="10" style="6" customWidth="1"/>
    <col min="15580" max="15580" width="6.85546875" style="6" customWidth="1"/>
    <col min="15581" max="15581" width="7.140625" style="6" customWidth="1"/>
    <col min="15582" max="15582" width="9.140625" style="6"/>
    <col min="15583" max="15583" width="7" style="6" customWidth="1"/>
    <col min="15584" max="15584" width="8" style="6" customWidth="1"/>
    <col min="15585" max="15585" width="7" style="6" customWidth="1"/>
    <col min="15586" max="15586" width="10" style="6" customWidth="1"/>
    <col min="15587" max="15587" width="6.85546875" style="6" customWidth="1"/>
    <col min="15588" max="15588" width="7.140625" style="6" customWidth="1"/>
    <col min="15589" max="15590" width="8.85546875" style="6" customWidth="1"/>
    <col min="15591" max="15591" width="8" style="6" customWidth="1"/>
    <col min="15592" max="15592" width="7" style="6" customWidth="1"/>
    <col min="15593" max="15593" width="10" style="6" customWidth="1"/>
    <col min="15594" max="15594" width="6.85546875" style="6" customWidth="1"/>
    <col min="15595" max="15595" width="7.140625" style="6" customWidth="1"/>
    <col min="15596" max="15597" width="8.85546875" style="6" customWidth="1"/>
    <col min="15598" max="15822" width="9.140625" style="6"/>
    <col min="15823" max="15823" width="40.28515625" style="6" customWidth="1"/>
    <col min="15824" max="15824" width="5.85546875" style="6" customWidth="1"/>
    <col min="15825" max="15825" width="40.28515625" style="6" customWidth="1"/>
    <col min="15826" max="15832" width="0" style="6" hidden="1" customWidth="1"/>
    <col min="15833" max="15833" width="8" style="6" customWidth="1"/>
    <col min="15834" max="15834" width="7" style="6" customWidth="1"/>
    <col min="15835" max="15835" width="10" style="6" customWidth="1"/>
    <col min="15836" max="15836" width="6.85546875" style="6" customWidth="1"/>
    <col min="15837" max="15837" width="7.140625" style="6" customWidth="1"/>
    <col min="15838" max="15838" width="9.140625" style="6"/>
    <col min="15839" max="15839" width="7" style="6" customWidth="1"/>
    <col min="15840" max="15840" width="8" style="6" customWidth="1"/>
    <col min="15841" max="15841" width="7" style="6" customWidth="1"/>
    <col min="15842" max="15842" width="10" style="6" customWidth="1"/>
    <col min="15843" max="15843" width="6.85546875" style="6" customWidth="1"/>
    <col min="15844" max="15844" width="7.140625" style="6" customWidth="1"/>
    <col min="15845" max="15846" width="8.85546875" style="6" customWidth="1"/>
    <col min="15847" max="15847" width="8" style="6" customWidth="1"/>
    <col min="15848" max="15848" width="7" style="6" customWidth="1"/>
    <col min="15849" max="15849" width="10" style="6" customWidth="1"/>
    <col min="15850" max="15850" width="6.85546875" style="6" customWidth="1"/>
    <col min="15851" max="15851" width="7.140625" style="6" customWidth="1"/>
    <col min="15852" max="15853" width="8.85546875" style="6" customWidth="1"/>
    <col min="15854" max="16078" width="9.140625" style="6"/>
    <col min="16079" max="16079" width="40.28515625" style="6" customWidth="1"/>
    <col min="16080" max="16080" width="5.85546875" style="6" customWidth="1"/>
    <col min="16081" max="16081" width="40.28515625" style="6" customWidth="1"/>
    <col min="16082" max="16088" width="0" style="6" hidden="1" customWidth="1"/>
    <col min="16089" max="16089" width="8" style="6" customWidth="1"/>
    <col min="16090" max="16090" width="7" style="6" customWidth="1"/>
    <col min="16091" max="16091" width="10" style="6" customWidth="1"/>
    <col min="16092" max="16092" width="6.85546875" style="6" customWidth="1"/>
    <col min="16093" max="16093" width="7.140625" style="6" customWidth="1"/>
    <col min="16094" max="16094" width="9.140625" style="6"/>
    <col min="16095" max="16095" width="7" style="6" customWidth="1"/>
    <col min="16096" max="16096" width="8" style="6" customWidth="1"/>
    <col min="16097" max="16097" width="7" style="6" customWidth="1"/>
    <col min="16098" max="16098" width="10" style="6" customWidth="1"/>
    <col min="16099" max="16099" width="6.85546875" style="6" customWidth="1"/>
    <col min="16100" max="16100" width="7.140625" style="6" customWidth="1"/>
    <col min="16101" max="16102" width="8.85546875" style="6" customWidth="1"/>
    <col min="16103" max="16103" width="8" style="6" customWidth="1"/>
    <col min="16104" max="16104" width="7" style="6" customWidth="1"/>
    <col min="16105" max="16105" width="10" style="6" customWidth="1"/>
    <col min="16106" max="16106" width="6.85546875" style="6" customWidth="1"/>
    <col min="16107" max="16107" width="7.140625" style="6" customWidth="1"/>
    <col min="16108" max="16109" width="8.85546875" style="6" customWidth="1"/>
    <col min="16110" max="16384" width="9.140625" style="6"/>
  </cols>
  <sheetData>
    <row r="1" spans="1:132" x14ac:dyDescent="0.2">
      <c r="A1" s="5" t="s">
        <v>630</v>
      </c>
      <c r="B1" s="469"/>
    </row>
    <row r="2" spans="1:132" ht="11.25" customHeight="1" thickBot="1" x14ac:dyDescent="0.25">
      <c r="A2" s="471"/>
      <c r="B2" s="472"/>
      <c r="C2" s="473"/>
    </row>
    <row r="3" spans="1:132" ht="13.5" customHeight="1" thickTop="1" x14ac:dyDescent="0.25">
      <c r="A3" s="724" t="s">
        <v>139</v>
      </c>
      <c r="B3" s="725"/>
      <c r="C3" s="726"/>
      <c r="D3" s="730" t="s">
        <v>14</v>
      </c>
      <c r="E3" s="731"/>
      <c r="F3" s="731"/>
      <c r="G3" s="731"/>
      <c r="H3" s="731"/>
      <c r="I3" s="731"/>
      <c r="J3" s="732"/>
      <c r="K3" s="730" t="s">
        <v>15</v>
      </c>
      <c r="L3" s="731"/>
      <c r="M3" s="731"/>
      <c r="N3" s="731"/>
      <c r="O3" s="731"/>
      <c r="P3" s="731"/>
      <c r="Q3" s="732"/>
      <c r="R3" s="733" t="s">
        <v>16</v>
      </c>
      <c r="S3" s="731"/>
      <c r="T3" s="731"/>
      <c r="U3" s="731"/>
      <c r="V3" s="731"/>
      <c r="W3" s="731"/>
      <c r="X3" s="732"/>
      <c r="Y3" s="733" t="s">
        <v>17</v>
      </c>
      <c r="Z3" s="731"/>
      <c r="AA3" s="731"/>
      <c r="AB3" s="731"/>
      <c r="AC3" s="731"/>
      <c r="AD3" s="731"/>
      <c r="AE3" s="732"/>
      <c r="AF3" s="733" t="s">
        <v>35</v>
      </c>
      <c r="AG3" s="731"/>
      <c r="AH3" s="731"/>
      <c r="AI3" s="731"/>
      <c r="AJ3" s="731"/>
      <c r="AK3" s="731"/>
      <c r="AL3" s="732"/>
      <c r="AM3" s="733" t="s">
        <v>542</v>
      </c>
      <c r="AN3" s="731"/>
      <c r="AO3" s="731"/>
      <c r="AP3" s="731"/>
      <c r="AQ3" s="731"/>
      <c r="AR3" s="731"/>
      <c r="AS3" s="732"/>
      <c r="AT3" s="733" t="s">
        <v>544</v>
      </c>
      <c r="AU3" s="731"/>
      <c r="AV3" s="731"/>
      <c r="AW3" s="731"/>
      <c r="AX3" s="731"/>
      <c r="AY3" s="731"/>
      <c r="AZ3" s="732"/>
      <c r="BA3" s="733" t="s">
        <v>551</v>
      </c>
      <c r="BB3" s="731"/>
      <c r="BC3" s="731"/>
      <c r="BD3" s="731"/>
      <c r="BE3" s="731"/>
      <c r="BF3" s="731"/>
      <c r="BG3" s="732"/>
      <c r="BH3" s="733" t="s">
        <v>561</v>
      </c>
      <c r="BI3" s="731"/>
      <c r="BJ3" s="731"/>
      <c r="BK3" s="731"/>
      <c r="BL3" s="731"/>
      <c r="BM3" s="731"/>
      <c r="BN3" s="732"/>
      <c r="BO3" s="733" t="s">
        <v>586</v>
      </c>
      <c r="BP3" s="731"/>
      <c r="BQ3" s="731"/>
      <c r="BR3" s="731"/>
      <c r="BS3" s="731"/>
      <c r="BT3" s="731"/>
      <c r="BU3" s="732"/>
      <c r="BV3" s="733" t="s">
        <v>590</v>
      </c>
      <c r="BW3" s="731"/>
      <c r="BX3" s="731"/>
      <c r="BY3" s="731"/>
      <c r="BZ3" s="731"/>
      <c r="CA3" s="731"/>
      <c r="CB3" s="732"/>
      <c r="CC3" s="733" t="s">
        <v>593</v>
      </c>
      <c r="CD3" s="731"/>
      <c r="CE3" s="731"/>
      <c r="CF3" s="731"/>
      <c r="CG3" s="731"/>
      <c r="CH3" s="731"/>
      <c r="CI3" s="732"/>
      <c r="CJ3" s="720" t="s">
        <v>596</v>
      </c>
      <c r="CK3" s="721"/>
      <c r="CL3" s="721"/>
      <c r="CM3" s="721"/>
      <c r="CN3" s="721"/>
      <c r="CO3" s="721"/>
      <c r="CP3" s="721"/>
      <c r="CQ3" s="722"/>
      <c r="CR3" s="723"/>
      <c r="CS3" s="720" t="s">
        <v>603</v>
      </c>
      <c r="CT3" s="721"/>
      <c r="CU3" s="721"/>
      <c r="CV3" s="721"/>
      <c r="CW3" s="721"/>
      <c r="CX3" s="721"/>
      <c r="CY3" s="721"/>
      <c r="CZ3" s="722"/>
      <c r="DA3" s="723"/>
      <c r="DB3" s="720" t="s">
        <v>606</v>
      </c>
      <c r="DC3" s="721"/>
      <c r="DD3" s="721"/>
      <c r="DE3" s="721"/>
      <c r="DF3" s="721"/>
      <c r="DG3" s="721"/>
      <c r="DH3" s="721"/>
      <c r="DI3" s="722"/>
      <c r="DJ3" s="723"/>
      <c r="DK3" s="720" t="s">
        <v>611</v>
      </c>
      <c r="DL3" s="721"/>
      <c r="DM3" s="721"/>
      <c r="DN3" s="721"/>
      <c r="DO3" s="721"/>
      <c r="DP3" s="721"/>
      <c r="DQ3" s="721"/>
      <c r="DR3" s="722"/>
      <c r="DS3" s="723"/>
      <c r="DT3" s="720" t="s">
        <v>618</v>
      </c>
      <c r="DU3" s="721"/>
      <c r="DV3" s="721"/>
      <c r="DW3" s="721"/>
      <c r="DX3" s="721"/>
      <c r="DY3" s="721"/>
      <c r="DZ3" s="721"/>
      <c r="EA3" s="722"/>
      <c r="EB3" s="723"/>
    </row>
    <row r="4" spans="1:132" ht="69" customHeight="1" thickBot="1" x14ac:dyDescent="0.25">
      <c r="A4" s="727"/>
      <c r="B4" s="728"/>
      <c r="C4" s="729"/>
      <c r="D4" s="474" t="s">
        <v>140</v>
      </c>
      <c r="E4" s="475" t="s">
        <v>141</v>
      </c>
      <c r="F4" s="476" t="s">
        <v>142</v>
      </c>
      <c r="G4" s="476" t="s">
        <v>143</v>
      </c>
      <c r="H4" s="477" t="s">
        <v>144</v>
      </c>
      <c r="I4" s="478" t="s">
        <v>145</v>
      </c>
      <c r="J4" s="479" t="s">
        <v>146</v>
      </c>
      <c r="K4" s="474" t="s">
        <v>140</v>
      </c>
      <c r="L4" s="475" t="s">
        <v>141</v>
      </c>
      <c r="M4" s="476" t="s">
        <v>142</v>
      </c>
      <c r="N4" s="476" t="s">
        <v>143</v>
      </c>
      <c r="O4" s="477" t="s">
        <v>144</v>
      </c>
      <c r="P4" s="478" t="s">
        <v>145</v>
      </c>
      <c r="Q4" s="479" t="s">
        <v>146</v>
      </c>
      <c r="R4" s="474" t="s">
        <v>140</v>
      </c>
      <c r="S4" s="475" t="s">
        <v>141</v>
      </c>
      <c r="T4" s="476" t="s">
        <v>142</v>
      </c>
      <c r="U4" s="476" t="s">
        <v>143</v>
      </c>
      <c r="V4" s="477" t="s">
        <v>144</v>
      </c>
      <c r="W4" s="478" t="s">
        <v>145</v>
      </c>
      <c r="X4" s="479" t="s">
        <v>146</v>
      </c>
      <c r="Y4" s="474" t="s">
        <v>140</v>
      </c>
      <c r="Z4" s="475" t="s">
        <v>141</v>
      </c>
      <c r="AA4" s="476" t="s">
        <v>142</v>
      </c>
      <c r="AB4" s="476" t="s">
        <v>143</v>
      </c>
      <c r="AC4" s="477" t="s">
        <v>144</v>
      </c>
      <c r="AD4" s="478" t="s">
        <v>145</v>
      </c>
      <c r="AE4" s="479" t="s">
        <v>146</v>
      </c>
      <c r="AF4" s="474" t="s">
        <v>140</v>
      </c>
      <c r="AG4" s="475" t="s">
        <v>141</v>
      </c>
      <c r="AH4" s="476" t="s">
        <v>142</v>
      </c>
      <c r="AI4" s="476" t="s">
        <v>143</v>
      </c>
      <c r="AJ4" s="477" t="s">
        <v>144</v>
      </c>
      <c r="AK4" s="478" t="s">
        <v>145</v>
      </c>
      <c r="AL4" s="479" t="s">
        <v>146</v>
      </c>
      <c r="AM4" s="474" t="s">
        <v>140</v>
      </c>
      <c r="AN4" s="475" t="s">
        <v>141</v>
      </c>
      <c r="AO4" s="476" t="s">
        <v>142</v>
      </c>
      <c r="AP4" s="476" t="s">
        <v>143</v>
      </c>
      <c r="AQ4" s="477" t="s">
        <v>144</v>
      </c>
      <c r="AR4" s="478" t="s">
        <v>145</v>
      </c>
      <c r="AS4" s="479" t="s">
        <v>146</v>
      </c>
      <c r="AT4" s="474" t="s">
        <v>140</v>
      </c>
      <c r="AU4" s="475" t="s">
        <v>141</v>
      </c>
      <c r="AV4" s="476" t="s">
        <v>142</v>
      </c>
      <c r="AW4" s="476" t="s">
        <v>143</v>
      </c>
      <c r="AX4" s="477" t="s">
        <v>144</v>
      </c>
      <c r="AY4" s="478" t="s">
        <v>145</v>
      </c>
      <c r="AZ4" s="479" t="s">
        <v>146</v>
      </c>
      <c r="BA4" s="474" t="s">
        <v>140</v>
      </c>
      <c r="BB4" s="475" t="s">
        <v>141</v>
      </c>
      <c r="BC4" s="476" t="s">
        <v>142</v>
      </c>
      <c r="BD4" s="476" t="s">
        <v>143</v>
      </c>
      <c r="BE4" s="477" t="s">
        <v>144</v>
      </c>
      <c r="BF4" s="478" t="s">
        <v>145</v>
      </c>
      <c r="BG4" s="479" t="s">
        <v>146</v>
      </c>
      <c r="BH4" s="474" t="s">
        <v>140</v>
      </c>
      <c r="BI4" s="475" t="s">
        <v>141</v>
      </c>
      <c r="BJ4" s="476" t="s">
        <v>142</v>
      </c>
      <c r="BK4" s="476" t="s">
        <v>143</v>
      </c>
      <c r="BL4" s="477" t="s">
        <v>144</v>
      </c>
      <c r="BM4" s="478" t="s">
        <v>145</v>
      </c>
      <c r="BN4" s="479" t="s">
        <v>146</v>
      </c>
      <c r="BO4" s="474" t="s">
        <v>140</v>
      </c>
      <c r="BP4" s="475" t="s">
        <v>141</v>
      </c>
      <c r="BQ4" s="476" t="s">
        <v>142</v>
      </c>
      <c r="BR4" s="476" t="s">
        <v>143</v>
      </c>
      <c r="BS4" s="477" t="s">
        <v>144</v>
      </c>
      <c r="BT4" s="478" t="s">
        <v>145</v>
      </c>
      <c r="BU4" s="479" t="s">
        <v>146</v>
      </c>
      <c r="BV4" s="474" t="s">
        <v>140</v>
      </c>
      <c r="BW4" s="475" t="s">
        <v>141</v>
      </c>
      <c r="BX4" s="476" t="s">
        <v>142</v>
      </c>
      <c r="BY4" s="476" t="s">
        <v>143</v>
      </c>
      <c r="BZ4" s="477" t="s">
        <v>144</v>
      </c>
      <c r="CA4" s="478" t="s">
        <v>145</v>
      </c>
      <c r="CB4" s="479" t="s">
        <v>146</v>
      </c>
      <c r="CC4" s="474" t="s">
        <v>140</v>
      </c>
      <c r="CD4" s="475" t="s">
        <v>141</v>
      </c>
      <c r="CE4" s="476" t="s">
        <v>142</v>
      </c>
      <c r="CF4" s="476" t="s">
        <v>143</v>
      </c>
      <c r="CG4" s="477" t="s">
        <v>144</v>
      </c>
      <c r="CH4" s="478" t="s">
        <v>145</v>
      </c>
      <c r="CI4" s="479" t="s">
        <v>146</v>
      </c>
      <c r="CJ4" s="667" t="s">
        <v>140</v>
      </c>
      <c r="CK4" s="475" t="s">
        <v>141</v>
      </c>
      <c r="CL4" s="476" t="s">
        <v>142</v>
      </c>
      <c r="CM4" s="476" t="s">
        <v>143</v>
      </c>
      <c r="CN4" s="477" t="s">
        <v>144</v>
      </c>
      <c r="CO4" s="478" t="s">
        <v>145</v>
      </c>
      <c r="CP4" s="658" t="s">
        <v>146</v>
      </c>
      <c r="CQ4" s="659" t="s">
        <v>597</v>
      </c>
      <c r="CR4" s="660" t="s">
        <v>598</v>
      </c>
      <c r="CS4" s="667" t="s">
        <v>140</v>
      </c>
      <c r="CT4" s="475" t="s">
        <v>141</v>
      </c>
      <c r="CU4" s="476" t="s">
        <v>142</v>
      </c>
      <c r="CV4" s="476" t="s">
        <v>143</v>
      </c>
      <c r="CW4" s="477" t="s">
        <v>144</v>
      </c>
      <c r="CX4" s="478" t="s">
        <v>145</v>
      </c>
      <c r="CY4" s="658" t="s">
        <v>146</v>
      </c>
      <c r="CZ4" s="659" t="s">
        <v>597</v>
      </c>
      <c r="DA4" s="660" t="s">
        <v>598</v>
      </c>
      <c r="DB4" s="667" t="s">
        <v>140</v>
      </c>
      <c r="DC4" s="475" t="s">
        <v>141</v>
      </c>
      <c r="DD4" s="476" t="s">
        <v>142</v>
      </c>
      <c r="DE4" s="476" t="s">
        <v>143</v>
      </c>
      <c r="DF4" s="477" t="s">
        <v>144</v>
      </c>
      <c r="DG4" s="478" t="s">
        <v>145</v>
      </c>
      <c r="DH4" s="658" t="s">
        <v>146</v>
      </c>
      <c r="DI4" s="659" t="s">
        <v>597</v>
      </c>
      <c r="DJ4" s="660" t="s">
        <v>598</v>
      </c>
      <c r="DK4" s="667" t="s">
        <v>140</v>
      </c>
      <c r="DL4" s="475" t="s">
        <v>141</v>
      </c>
      <c r="DM4" s="476" t="s">
        <v>142</v>
      </c>
      <c r="DN4" s="476" t="s">
        <v>143</v>
      </c>
      <c r="DO4" s="477" t="s">
        <v>144</v>
      </c>
      <c r="DP4" s="478" t="s">
        <v>145</v>
      </c>
      <c r="DQ4" s="658" t="s">
        <v>146</v>
      </c>
      <c r="DR4" s="659" t="s">
        <v>597</v>
      </c>
      <c r="DS4" s="660" t="s">
        <v>598</v>
      </c>
      <c r="DT4" s="667" t="s">
        <v>140</v>
      </c>
      <c r="DU4" s="475" t="s">
        <v>141</v>
      </c>
      <c r="DV4" s="476" t="s">
        <v>142</v>
      </c>
      <c r="DW4" s="476" t="s">
        <v>143</v>
      </c>
      <c r="DX4" s="477" t="s">
        <v>144</v>
      </c>
      <c r="DY4" s="478" t="s">
        <v>145</v>
      </c>
      <c r="DZ4" s="658" t="s">
        <v>146</v>
      </c>
      <c r="EA4" s="659" t="s">
        <v>597</v>
      </c>
      <c r="EB4" s="660" t="s">
        <v>598</v>
      </c>
    </row>
    <row r="5" spans="1:132" s="2" customFormat="1" ht="13.5" thickBot="1" x14ac:dyDescent="0.3">
      <c r="A5" s="480" t="s">
        <v>48</v>
      </c>
      <c r="B5" s="481" t="s">
        <v>147</v>
      </c>
      <c r="C5" s="482"/>
      <c r="D5" s="483">
        <v>324993</v>
      </c>
      <c r="E5" s="484">
        <v>146620</v>
      </c>
      <c r="F5" s="484">
        <v>136767</v>
      </c>
      <c r="G5" s="484">
        <v>105570</v>
      </c>
      <c r="H5" s="485">
        <v>99818</v>
      </c>
      <c r="I5" s="486">
        <f>G5/E5</f>
        <v>0.72002455326694859</v>
      </c>
      <c r="J5" s="487">
        <f>G5/F5</f>
        <v>0.77189672947421528</v>
      </c>
      <c r="K5" s="483">
        <v>331536</v>
      </c>
      <c r="L5" s="484">
        <v>150588</v>
      </c>
      <c r="M5" s="484">
        <v>140072</v>
      </c>
      <c r="N5" s="484">
        <v>106437</v>
      </c>
      <c r="O5" s="485">
        <v>100676</v>
      </c>
      <c r="P5" s="486">
        <f>N5/L5</f>
        <v>0.70680930751454296</v>
      </c>
      <c r="Q5" s="487">
        <f>N5/M5</f>
        <v>0.75987349363184653</v>
      </c>
      <c r="R5" s="483">
        <v>330066</v>
      </c>
      <c r="S5" s="484">
        <v>149613</v>
      </c>
      <c r="T5" s="484">
        <v>139280</v>
      </c>
      <c r="U5" s="484">
        <v>103761</v>
      </c>
      <c r="V5" s="485">
        <v>97837</v>
      </c>
      <c r="W5" s="486">
        <f>U5/S5</f>
        <v>0.69352930560846981</v>
      </c>
      <c r="X5" s="487">
        <f>U5/T5</f>
        <v>0.74498133256749</v>
      </c>
      <c r="Y5" s="483">
        <v>309452</v>
      </c>
      <c r="Z5" s="484">
        <v>141054</v>
      </c>
      <c r="AA5" s="484">
        <v>130728</v>
      </c>
      <c r="AB5" s="484">
        <v>98261</v>
      </c>
      <c r="AC5" s="485">
        <v>92428</v>
      </c>
      <c r="AD5" s="486">
        <f t="shared" ref="AD5:AD32" si="0">AB5/Z5</f>
        <v>0.69661973428615986</v>
      </c>
      <c r="AE5" s="487">
        <f t="shared" ref="AE5:AE32" si="1">AB5/AA5</f>
        <v>0.75164463619117561</v>
      </c>
      <c r="AF5" s="483">
        <v>290953</v>
      </c>
      <c r="AG5" s="484">
        <v>134257</v>
      </c>
      <c r="AH5" s="484">
        <v>123766</v>
      </c>
      <c r="AI5" s="484">
        <v>93714</v>
      </c>
      <c r="AJ5" s="485">
        <v>88109</v>
      </c>
      <c r="AK5" s="486">
        <f t="shared" ref="AK5:AK32" si="2">AI5/AG5</f>
        <v>0.69801947012073862</v>
      </c>
      <c r="AL5" s="487">
        <f t="shared" ref="AL5:AL32" si="3">AI5/AH5</f>
        <v>0.75718694956611665</v>
      </c>
      <c r="AM5" s="483">
        <v>260467</v>
      </c>
      <c r="AN5" s="484">
        <v>121761</v>
      </c>
      <c r="AO5" s="484">
        <v>111374</v>
      </c>
      <c r="AP5" s="484">
        <v>84764</v>
      </c>
      <c r="AQ5" s="485">
        <v>79073</v>
      </c>
      <c r="AR5" s="486">
        <f t="shared" ref="AR5:AR32" si="4">AP5/AN5</f>
        <v>0.6961506557929058</v>
      </c>
      <c r="AS5" s="487">
        <f t="shared" ref="AS5:AS32" si="5">AP5/AO5</f>
        <v>0.76107529585001887</v>
      </c>
      <c r="AT5" s="483">
        <v>243718</v>
      </c>
      <c r="AU5" s="484">
        <v>113093</v>
      </c>
      <c r="AV5" s="484">
        <v>103442</v>
      </c>
      <c r="AW5" s="484">
        <v>80302</v>
      </c>
      <c r="AX5" s="485">
        <v>74833</v>
      </c>
      <c r="AY5" s="486">
        <f t="shared" ref="AY5:AY32" si="6">AW5/AU5</f>
        <v>0.71005278841307595</v>
      </c>
      <c r="AZ5" s="487">
        <f t="shared" ref="AZ5:AZ32" si="7">AW5/AV5</f>
        <v>0.77629976218557262</v>
      </c>
      <c r="BA5" s="483">
        <v>224151</v>
      </c>
      <c r="BB5" s="484">
        <v>102791</v>
      </c>
      <c r="BC5" s="484">
        <v>94068</v>
      </c>
      <c r="BD5" s="484">
        <v>74767</v>
      </c>
      <c r="BE5" s="485">
        <v>69839</v>
      </c>
      <c r="BF5" s="486">
        <f t="shared" ref="BF5:BF32" si="8">BD5/BB5</f>
        <v>0.72736912764736217</v>
      </c>
      <c r="BG5" s="487">
        <f t="shared" ref="BG5:BG32" si="9">BD5/BC5</f>
        <v>0.79481864183356721</v>
      </c>
      <c r="BH5" s="483">
        <v>213317</v>
      </c>
      <c r="BI5" s="484">
        <v>97998</v>
      </c>
      <c r="BJ5" s="484">
        <v>90528</v>
      </c>
      <c r="BK5" s="484">
        <v>74623</v>
      </c>
      <c r="BL5" s="485">
        <v>69911</v>
      </c>
      <c r="BM5" s="486">
        <f t="shared" ref="BM5:BM32" si="10">BK5/BI5</f>
        <v>0.76147472397395866</v>
      </c>
      <c r="BN5" s="487">
        <f t="shared" ref="BN5:BN32" si="11">BK5/BJ5</f>
        <v>0.82430850123718624</v>
      </c>
      <c r="BO5" s="483">
        <v>204053</v>
      </c>
      <c r="BP5" s="484">
        <v>95137</v>
      </c>
      <c r="BQ5" s="484">
        <v>88116</v>
      </c>
      <c r="BR5" s="484">
        <v>73350</v>
      </c>
      <c r="BS5" s="485">
        <v>68753</v>
      </c>
      <c r="BT5" s="486">
        <f t="shared" ref="BT5:BT32" si="12">BR5/BP5</f>
        <v>0.77099340950418871</v>
      </c>
      <c r="BU5" s="487">
        <f t="shared" ref="BU5:BU32" si="13">BR5/BQ5</f>
        <v>0.83242543919378997</v>
      </c>
      <c r="BV5" s="483">
        <v>211447</v>
      </c>
      <c r="BW5" s="484">
        <v>98127</v>
      </c>
      <c r="BX5" s="484">
        <v>91750</v>
      </c>
      <c r="BY5" s="484">
        <v>77485</v>
      </c>
      <c r="BZ5" s="485">
        <v>72730</v>
      </c>
      <c r="CA5" s="486">
        <f t="shared" ref="CA5:CA32" si="14">BY5/BW5</f>
        <v>0.78963995638305462</v>
      </c>
      <c r="CB5" s="487">
        <f t="shared" ref="CB5:CB32" si="15">BY5/BX5</f>
        <v>0.84452316076294276</v>
      </c>
      <c r="CC5" s="483">
        <v>211447</v>
      </c>
      <c r="CD5" s="484">
        <v>98868</v>
      </c>
      <c r="CE5" s="484">
        <v>94769</v>
      </c>
      <c r="CF5" s="484">
        <v>79800</v>
      </c>
      <c r="CG5" s="485">
        <v>75605</v>
      </c>
      <c r="CH5" s="486">
        <f t="shared" ref="CH5:CH32" si="16">CF5/CD5</f>
        <v>0.80713678844519965</v>
      </c>
      <c r="CI5" s="487">
        <f t="shared" ref="CI5:CI32" si="17">CF5/CE5</f>
        <v>0.8420475049858076</v>
      </c>
      <c r="CJ5" s="668">
        <v>228483</v>
      </c>
      <c r="CK5" s="484">
        <v>102335</v>
      </c>
      <c r="CL5" s="484">
        <v>97078</v>
      </c>
      <c r="CM5" s="484">
        <v>79621</v>
      </c>
      <c r="CN5" s="485">
        <v>75265</v>
      </c>
      <c r="CO5" s="486">
        <f t="shared" ref="CO5:CO32" si="18">CM5/CK5</f>
        <v>0.77804270288757515</v>
      </c>
      <c r="CP5" s="661">
        <f t="shared" ref="CP5:CP32" si="19">CM5/CL5</f>
        <v>0.82017552895609713</v>
      </c>
      <c r="CQ5" s="486">
        <v>0.79992182537743683</v>
      </c>
      <c r="CR5" s="669">
        <v>0.84323945693153957</v>
      </c>
      <c r="CS5" s="668">
        <v>229775</v>
      </c>
      <c r="CT5" s="484">
        <v>100748</v>
      </c>
      <c r="CU5" s="484">
        <v>93791</v>
      </c>
      <c r="CV5" s="484">
        <v>76138</v>
      </c>
      <c r="CW5" s="485">
        <v>72713</v>
      </c>
      <c r="CX5" s="486">
        <f t="shared" ref="CX5:CX32" si="20">CV5/CT5</f>
        <v>0.75572716083693969</v>
      </c>
      <c r="CY5" s="661">
        <f t="shared" ref="CY5:CY32" si="21">CV5/CU5</f>
        <v>0.81178364661854552</v>
      </c>
      <c r="CZ5" s="486">
        <v>0.78211974431254216</v>
      </c>
      <c r="DA5" s="669">
        <v>0.84013391476794153</v>
      </c>
      <c r="DB5" s="668">
        <v>246787</v>
      </c>
      <c r="DC5" s="484">
        <v>104596</v>
      </c>
      <c r="DD5" s="484">
        <v>97645</v>
      </c>
      <c r="DE5" s="484">
        <v>78750</v>
      </c>
      <c r="DF5" s="485">
        <v>75215</v>
      </c>
      <c r="DG5" s="486">
        <f t="shared" ref="DG5:DG32" si="22">DE5/DC5</f>
        <v>0.75289686030058511</v>
      </c>
      <c r="DH5" s="661">
        <f t="shared" ref="DH5:DH32" si="23">DE5/DD5</f>
        <v>0.80649290798299966</v>
      </c>
      <c r="DI5" s="486">
        <v>0.78439902099506675</v>
      </c>
      <c r="DJ5" s="669">
        <v>0.84023759537098675</v>
      </c>
      <c r="DK5" s="668">
        <v>256025</v>
      </c>
      <c r="DL5" s="484">
        <v>107140</v>
      </c>
      <c r="DM5" s="484">
        <v>100192</v>
      </c>
      <c r="DN5" s="484">
        <v>81428</v>
      </c>
      <c r="DO5" s="485">
        <v>77671</v>
      </c>
      <c r="DP5" s="486">
        <f t="shared" ref="DP5:DP32" si="24">DN5/DL5</f>
        <v>0.76001493373156614</v>
      </c>
      <c r="DQ5" s="661">
        <f t="shared" ref="DQ5:DQ32" si="25">DN5/DM5</f>
        <v>0.81271957840945386</v>
      </c>
      <c r="DR5" s="486">
        <v>0.78622363263020345</v>
      </c>
      <c r="DS5" s="669">
        <v>0.84074576812519963</v>
      </c>
      <c r="DT5" s="668">
        <v>271183</v>
      </c>
      <c r="DU5" s="484">
        <v>111357</v>
      </c>
      <c r="DV5" s="484">
        <v>104652</v>
      </c>
      <c r="DW5" s="484">
        <v>86281</v>
      </c>
      <c r="DX5" s="485">
        <v>82323</v>
      </c>
      <c r="DY5" s="486">
        <f t="shared" ref="DY5:DY32" si="26">DW5/DU5</f>
        <v>0.77481433587470927</v>
      </c>
      <c r="DZ5" s="661">
        <f t="shared" ref="DZ5:DZ32" si="27">DW5/DV5</f>
        <v>0.82445629323854297</v>
      </c>
      <c r="EA5" s="486">
        <v>0.79971622798746378</v>
      </c>
      <c r="EB5" s="669">
        <v>0.85095363681534997</v>
      </c>
    </row>
    <row r="6" spans="1:132" s="2" customFormat="1" x14ac:dyDescent="0.25">
      <c r="A6" s="488" t="s">
        <v>553</v>
      </c>
      <c r="B6" s="489" t="s">
        <v>148</v>
      </c>
      <c r="C6" s="490"/>
      <c r="D6" s="491">
        <v>45930</v>
      </c>
      <c r="E6" s="492">
        <v>25939</v>
      </c>
      <c r="F6" s="492">
        <v>23322</v>
      </c>
      <c r="G6" s="492">
        <v>10785</v>
      </c>
      <c r="H6" s="493">
        <v>9046</v>
      </c>
      <c r="I6" s="494">
        <f t="shared" ref="I6:I71" si="28">G6/E6</f>
        <v>0.41578318362311578</v>
      </c>
      <c r="J6" s="495">
        <f t="shared" ref="J6:J71" si="29">G6/F6</f>
        <v>0.4624388988937484</v>
      </c>
      <c r="K6" s="491">
        <v>46075</v>
      </c>
      <c r="L6" s="492">
        <v>26400</v>
      </c>
      <c r="M6" s="492">
        <v>23617</v>
      </c>
      <c r="N6" s="492">
        <v>11155</v>
      </c>
      <c r="O6" s="493">
        <v>9462</v>
      </c>
      <c r="P6" s="494">
        <f t="shared" ref="P6:P31" si="30">N6/L6</f>
        <v>0.4225378787878788</v>
      </c>
      <c r="Q6" s="495">
        <f t="shared" ref="Q6:Q31" si="31">N6/M6</f>
        <v>0.47232925435067957</v>
      </c>
      <c r="R6" s="491">
        <v>44285</v>
      </c>
      <c r="S6" s="492">
        <v>25324</v>
      </c>
      <c r="T6" s="492">
        <v>22721</v>
      </c>
      <c r="U6" s="492">
        <v>10043</v>
      </c>
      <c r="V6" s="493">
        <v>8770</v>
      </c>
      <c r="W6" s="494">
        <f t="shared" ref="W6:W70" si="32">U6/S6</f>
        <v>0.39658031906491864</v>
      </c>
      <c r="X6" s="495">
        <f t="shared" ref="X6:X70" si="33">U6/T6</f>
        <v>0.44201399586285817</v>
      </c>
      <c r="Y6" s="491">
        <v>44532</v>
      </c>
      <c r="Z6" s="492">
        <v>25199</v>
      </c>
      <c r="AA6" s="492">
        <v>22402</v>
      </c>
      <c r="AB6" s="492">
        <v>9391</v>
      </c>
      <c r="AC6" s="493">
        <v>8233</v>
      </c>
      <c r="AD6" s="494">
        <f t="shared" si="0"/>
        <v>0.3726735187904282</v>
      </c>
      <c r="AE6" s="495">
        <f t="shared" si="1"/>
        <v>0.41920364253191678</v>
      </c>
      <c r="AF6" s="491">
        <v>43562</v>
      </c>
      <c r="AG6" s="492">
        <v>24510</v>
      </c>
      <c r="AH6" s="492">
        <v>21693</v>
      </c>
      <c r="AI6" s="492">
        <v>9117</v>
      </c>
      <c r="AJ6" s="493">
        <v>8023</v>
      </c>
      <c r="AK6" s="494">
        <f t="shared" si="2"/>
        <v>0.3719706242350061</v>
      </c>
      <c r="AL6" s="495">
        <f t="shared" si="3"/>
        <v>0.42027382104826444</v>
      </c>
      <c r="AM6" s="491">
        <v>41201</v>
      </c>
      <c r="AN6" s="492">
        <v>23297</v>
      </c>
      <c r="AO6" s="492">
        <v>20336</v>
      </c>
      <c r="AP6" s="492">
        <v>9152</v>
      </c>
      <c r="AQ6" s="493">
        <v>8050</v>
      </c>
      <c r="AR6" s="494">
        <f t="shared" si="4"/>
        <v>0.39284027986436021</v>
      </c>
      <c r="AS6" s="495">
        <f t="shared" si="5"/>
        <v>0.45003933910306843</v>
      </c>
      <c r="AT6" s="491">
        <v>40711</v>
      </c>
      <c r="AU6" s="492">
        <v>22672</v>
      </c>
      <c r="AV6" s="492">
        <v>19863</v>
      </c>
      <c r="AW6" s="492">
        <v>9200</v>
      </c>
      <c r="AX6" s="493">
        <v>8137</v>
      </c>
      <c r="AY6" s="494">
        <f t="shared" si="6"/>
        <v>0.40578687367678196</v>
      </c>
      <c r="AZ6" s="495">
        <f t="shared" si="7"/>
        <v>0.46317273322257463</v>
      </c>
      <c r="BA6" s="491">
        <v>40313</v>
      </c>
      <c r="BB6" s="492">
        <v>21796</v>
      </c>
      <c r="BC6" s="492">
        <v>18861</v>
      </c>
      <c r="BD6" s="492">
        <v>8893</v>
      </c>
      <c r="BE6" s="493">
        <v>7723</v>
      </c>
      <c r="BF6" s="494">
        <f t="shared" si="8"/>
        <v>0.4080106441548908</v>
      </c>
      <c r="BG6" s="495">
        <f t="shared" si="9"/>
        <v>0.47150204124913841</v>
      </c>
      <c r="BH6" s="491">
        <v>39360</v>
      </c>
      <c r="BI6" s="492">
        <v>21171</v>
      </c>
      <c r="BJ6" s="492">
        <v>18146</v>
      </c>
      <c r="BK6" s="492">
        <v>8846</v>
      </c>
      <c r="BL6" s="493">
        <v>7989</v>
      </c>
      <c r="BM6" s="494">
        <f t="shared" si="10"/>
        <v>0.417835718671768</v>
      </c>
      <c r="BN6" s="495">
        <f t="shared" si="11"/>
        <v>0.48749035600132262</v>
      </c>
      <c r="BO6" s="491">
        <v>36752</v>
      </c>
      <c r="BP6" s="492">
        <v>19954</v>
      </c>
      <c r="BQ6" s="492">
        <v>16842</v>
      </c>
      <c r="BR6" s="492">
        <v>8493</v>
      </c>
      <c r="BS6" s="493">
        <v>7754</v>
      </c>
      <c r="BT6" s="494">
        <f t="shared" si="12"/>
        <v>0.42562894657712741</v>
      </c>
      <c r="BU6" s="495">
        <f t="shared" si="13"/>
        <v>0.504275026718917</v>
      </c>
      <c r="BV6" s="491">
        <v>38255</v>
      </c>
      <c r="BW6" s="492">
        <v>20191</v>
      </c>
      <c r="BX6" s="492">
        <v>17358</v>
      </c>
      <c r="BY6" s="492">
        <v>9042</v>
      </c>
      <c r="BZ6" s="493">
        <v>8253</v>
      </c>
      <c r="CA6" s="494">
        <f t="shared" si="14"/>
        <v>0.44782328760338763</v>
      </c>
      <c r="CB6" s="495">
        <f t="shared" si="15"/>
        <v>0.52091254752851712</v>
      </c>
      <c r="CC6" s="491">
        <v>36829</v>
      </c>
      <c r="CD6" s="492">
        <v>19805</v>
      </c>
      <c r="CE6" s="492">
        <v>17931</v>
      </c>
      <c r="CF6" s="492">
        <v>9382</v>
      </c>
      <c r="CG6" s="493">
        <v>8841</v>
      </c>
      <c r="CH6" s="494">
        <f t="shared" si="16"/>
        <v>0.47371875788942186</v>
      </c>
      <c r="CI6" s="495">
        <f t="shared" si="17"/>
        <v>0.52322792928447937</v>
      </c>
      <c r="CJ6" s="670">
        <v>38468</v>
      </c>
      <c r="CK6" s="492">
        <v>20977</v>
      </c>
      <c r="CL6" s="492">
        <v>18016</v>
      </c>
      <c r="CM6" s="492">
        <v>9103</v>
      </c>
      <c r="CN6" s="493">
        <v>8763</v>
      </c>
      <c r="CO6" s="494">
        <f t="shared" si="18"/>
        <v>0.43395147065834011</v>
      </c>
      <c r="CP6" s="662">
        <f t="shared" si="19"/>
        <v>0.50527309058614567</v>
      </c>
      <c r="CQ6" s="494">
        <v>0.50059589073747435</v>
      </c>
      <c r="CR6" s="671">
        <v>0.58287078152753113</v>
      </c>
      <c r="CS6" s="670">
        <v>40933</v>
      </c>
      <c r="CT6" s="492">
        <v>21828</v>
      </c>
      <c r="CU6" s="492">
        <v>18469</v>
      </c>
      <c r="CV6" s="492">
        <v>8969</v>
      </c>
      <c r="CW6" s="493">
        <v>8530</v>
      </c>
      <c r="CX6" s="494">
        <f t="shared" si="20"/>
        <v>0.41089426424775516</v>
      </c>
      <c r="CY6" s="662">
        <f t="shared" si="21"/>
        <v>0.48562456007363691</v>
      </c>
      <c r="CZ6" s="494">
        <v>0.45812717610408649</v>
      </c>
      <c r="DA6" s="671">
        <v>0.54144783150143483</v>
      </c>
      <c r="DB6" s="670">
        <v>44011</v>
      </c>
      <c r="DC6" s="492">
        <v>23223</v>
      </c>
      <c r="DD6" s="492">
        <v>19676</v>
      </c>
      <c r="DE6" s="492">
        <v>9776</v>
      </c>
      <c r="DF6" s="493">
        <v>9354</v>
      </c>
      <c r="DG6" s="494">
        <f t="shared" si="22"/>
        <v>0.42096197735004093</v>
      </c>
      <c r="DH6" s="662">
        <f t="shared" si="23"/>
        <v>0.4968489530392356</v>
      </c>
      <c r="DI6" s="494">
        <v>0.48439047496016879</v>
      </c>
      <c r="DJ6" s="671">
        <v>0.57171173002642817</v>
      </c>
      <c r="DK6" s="670">
        <v>45035</v>
      </c>
      <c r="DL6" s="492">
        <v>23384</v>
      </c>
      <c r="DM6" s="492">
        <v>19955</v>
      </c>
      <c r="DN6" s="492">
        <v>9742</v>
      </c>
      <c r="DO6" s="493">
        <v>9290</v>
      </c>
      <c r="DP6" s="494">
        <f t="shared" si="24"/>
        <v>0.41660964762230585</v>
      </c>
      <c r="DQ6" s="662">
        <f t="shared" si="25"/>
        <v>0.48819844650463545</v>
      </c>
      <c r="DR6" s="494">
        <v>0.47074923024290111</v>
      </c>
      <c r="DS6" s="671">
        <v>0.55164119268353795</v>
      </c>
      <c r="DT6" s="670">
        <v>46232</v>
      </c>
      <c r="DU6" s="492">
        <v>23512</v>
      </c>
      <c r="DV6" s="492">
        <v>20367</v>
      </c>
      <c r="DW6" s="492">
        <v>10027</v>
      </c>
      <c r="DX6" s="493">
        <v>9461</v>
      </c>
      <c r="DY6" s="494">
        <f t="shared" si="26"/>
        <v>0.4264630826811841</v>
      </c>
      <c r="DZ6" s="662">
        <f t="shared" si="27"/>
        <v>0.49231600137477294</v>
      </c>
      <c r="EA6" s="494">
        <v>0.46427356243620277</v>
      </c>
      <c r="EB6" s="671">
        <v>0.53596504148868263</v>
      </c>
    </row>
    <row r="7" spans="1:132" s="2" customFormat="1" x14ac:dyDescent="0.25">
      <c r="A7" s="496" t="s">
        <v>553</v>
      </c>
      <c r="B7" s="497" t="s">
        <v>149</v>
      </c>
      <c r="C7" s="498" t="s">
        <v>150</v>
      </c>
      <c r="D7" s="499">
        <v>3379</v>
      </c>
      <c r="E7" s="500">
        <v>2825</v>
      </c>
      <c r="F7" s="500">
        <v>2243</v>
      </c>
      <c r="G7" s="500">
        <v>1110</v>
      </c>
      <c r="H7" s="500">
        <v>698</v>
      </c>
      <c r="I7" s="501">
        <f t="shared" si="28"/>
        <v>0.39292035398230091</v>
      </c>
      <c r="J7" s="502">
        <f t="shared" si="29"/>
        <v>0.49487293802942489</v>
      </c>
      <c r="K7" s="499">
        <v>3453</v>
      </c>
      <c r="L7" s="500">
        <v>2855</v>
      </c>
      <c r="M7" s="500">
        <v>2244</v>
      </c>
      <c r="N7" s="500">
        <v>1056</v>
      </c>
      <c r="O7" s="500">
        <v>690</v>
      </c>
      <c r="P7" s="501">
        <f t="shared" si="30"/>
        <v>0.36987740805604202</v>
      </c>
      <c r="Q7" s="502">
        <f t="shared" si="31"/>
        <v>0.47058823529411764</v>
      </c>
      <c r="R7" s="499">
        <v>3825</v>
      </c>
      <c r="S7" s="500">
        <v>3134</v>
      </c>
      <c r="T7" s="500">
        <v>2529</v>
      </c>
      <c r="U7" s="500">
        <v>1154</v>
      </c>
      <c r="V7" s="500">
        <v>780</v>
      </c>
      <c r="W7" s="501">
        <f t="shared" si="32"/>
        <v>0.36821952776005107</v>
      </c>
      <c r="X7" s="502">
        <f t="shared" si="33"/>
        <v>0.45630684064847765</v>
      </c>
      <c r="Y7" s="499">
        <v>4296</v>
      </c>
      <c r="Z7" s="500">
        <v>3516</v>
      </c>
      <c r="AA7" s="500">
        <v>2983</v>
      </c>
      <c r="AB7" s="500">
        <v>1068</v>
      </c>
      <c r="AC7" s="500">
        <v>730</v>
      </c>
      <c r="AD7" s="501">
        <f t="shared" si="0"/>
        <v>0.30375426621160412</v>
      </c>
      <c r="AE7" s="502">
        <f t="shared" si="1"/>
        <v>0.35802883003687563</v>
      </c>
      <c r="AF7" s="499">
        <v>4182</v>
      </c>
      <c r="AG7" s="500">
        <v>3467</v>
      </c>
      <c r="AH7" s="500">
        <v>2846</v>
      </c>
      <c r="AI7" s="500">
        <v>940</v>
      </c>
      <c r="AJ7" s="500">
        <v>647</v>
      </c>
      <c r="AK7" s="501">
        <f t="shared" si="2"/>
        <v>0.27112777617536776</v>
      </c>
      <c r="AL7" s="502">
        <f t="shared" si="3"/>
        <v>0.33028812368236121</v>
      </c>
      <c r="AM7" s="499">
        <v>4372</v>
      </c>
      <c r="AN7" s="500">
        <v>3682</v>
      </c>
      <c r="AO7" s="500">
        <v>2804</v>
      </c>
      <c r="AP7" s="500">
        <v>825</v>
      </c>
      <c r="AQ7" s="500">
        <v>593</v>
      </c>
      <c r="AR7" s="501">
        <f t="shared" si="4"/>
        <v>0.2240630092341119</v>
      </c>
      <c r="AS7" s="502">
        <f t="shared" si="5"/>
        <v>0.2942225392296719</v>
      </c>
      <c r="AT7" s="499">
        <v>5139</v>
      </c>
      <c r="AU7" s="500">
        <v>4311</v>
      </c>
      <c r="AV7" s="500">
        <v>3322</v>
      </c>
      <c r="AW7" s="500">
        <v>889</v>
      </c>
      <c r="AX7" s="500">
        <v>614</v>
      </c>
      <c r="AY7" s="501">
        <f t="shared" si="6"/>
        <v>0.20621665506842959</v>
      </c>
      <c r="AZ7" s="502">
        <f t="shared" si="7"/>
        <v>0.26760987357013849</v>
      </c>
      <c r="BA7" s="499">
        <v>4724</v>
      </c>
      <c r="BB7" s="500">
        <v>3956</v>
      </c>
      <c r="BC7" s="500">
        <v>2906</v>
      </c>
      <c r="BD7" s="500">
        <v>833</v>
      </c>
      <c r="BE7" s="500">
        <v>570</v>
      </c>
      <c r="BF7" s="501">
        <f t="shared" si="8"/>
        <v>0.21056622851365014</v>
      </c>
      <c r="BG7" s="502">
        <f t="shared" si="9"/>
        <v>0.28664831383344802</v>
      </c>
      <c r="BH7" s="499">
        <v>4514</v>
      </c>
      <c r="BI7" s="500">
        <v>3838</v>
      </c>
      <c r="BJ7" s="500">
        <v>3203</v>
      </c>
      <c r="BK7" s="500">
        <v>1022</v>
      </c>
      <c r="BL7" s="500">
        <v>524</v>
      </c>
      <c r="BM7" s="501">
        <f t="shared" si="10"/>
        <v>0.26628452318916102</v>
      </c>
      <c r="BN7" s="502">
        <f t="shared" si="11"/>
        <v>0.31907586637527319</v>
      </c>
      <c r="BO7" s="499">
        <v>3969</v>
      </c>
      <c r="BP7" s="500">
        <v>3397</v>
      </c>
      <c r="BQ7" s="500">
        <v>2657</v>
      </c>
      <c r="BR7" s="500">
        <v>933</v>
      </c>
      <c r="BS7" s="500">
        <v>586</v>
      </c>
      <c r="BT7" s="501">
        <f t="shared" si="12"/>
        <v>0.27465410656461586</v>
      </c>
      <c r="BU7" s="502">
        <f t="shared" si="13"/>
        <v>0.3511479111780203</v>
      </c>
      <c r="BV7" s="499">
        <v>4567</v>
      </c>
      <c r="BW7" s="500">
        <v>3711</v>
      </c>
      <c r="BX7" s="500">
        <v>2838</v>
      </c>
      <c r="BY7" s="500">
        <v>1097</v>
      </c>
      <c r="BZ7" s="500">
        <v>682</v>
      </c>
      <c r="CA7" s="501">
        <f t="shared" si="14"/>
        <v>0.29560765292374025</v>
      </c>
      <c r="CB7" s="502">
        <f t="shared" si="15"/>
        <v>0.38653981677237492</v>
      </c>
      <c r="CC7" s="499">
        <v>4414</v>
      </c>
      <c r="CD7" s="500">
        <v>3633</v>
      </c>
      <c r="CE7" s="500">
        <v>2932</v>
      </c>
      <c r="CF7" s="500">
        <v>1308</v>
      </c>
      <c r="CG7" s="500">
        <v>713</v>
      </c>
      <c r="CH7" s="501">
        <f t="shared" si="16"/>
        <v>0.36003303055326175</v>
      </c>
      <c r="CI7" s="502">
        <f t="shared" si="17"/>
        <v>0.44611186903137789</v>
      </c>
      <c r="CJ7" s="499">
        <v>4577</v>
      </c>
      <c r="CK7" s="500">
        <v>3788</v>
      </c>
      <c r="CL7" s="500">
        <v>2879</v>
      </c>
      <c r="CM7" s="500">
        <v>760</v>
      </c>
      <c r="CN7" s="500">
        <v>760</v>
      </c>
      <c r="CO7" s="501">
        <f t="shared" si="18"/>
        <v>0.20063357972544879</v>
      </c>
      <c r="CP7" s="501">
        <f t="shared" si="19"/>
        <v>0.26398054880166727</v>
      </c>
      <c r="CQ7" s="501">
        <v>0.27375923970432947</v>
      </c>
      <c r="CR7" s="502">
        <v>0.36019451198332753</v>
      </c>
      <c r="CS7" s="499">
        <v>4792</v>
      </c>
      <c r="CT7" s="500">
        <v>3945</v>
      </c>
      <c r="CU7" s="500">
        <v>2981</v>
      </c>
      <c r="CV7" s="500">
        <v>767</v>
      </c>
      <c r="CW7" s="500">
        <v>766</v>
      </c>
      <c r="CX7" s="501">
        <f t="shared" si="20"/>
        <v>0.19442332065906209</v>
      </c>
      <c r="CY7" s="501">
        <f t="shared" si="21"/>
        <v>0.25729620932572961</v>
      </c>
      <c r="CZ7" s="501">
        <v>0.27807351077313053</v>
      </c>
      <c r="DA7" s="502">
        <v>0.36799731633679972</v>
      </c>
      <c r="DB7" s="499">
        <v>5012</v>
      </c>
      <c r="DC7" s="500">
        <v>4040</v>
      </c>
      <c r="DD7" s="500">
        <v>3382</v>
      </c>
      <c r="DE7" s="500">
        <v>711</v>
      </c>
      <c r="DF7" s="500">
        <v>711</v>
      </c>
      <c r="DG7" s="501">
        <f t="shared" si="22"/>
        <v>0.17599009900990098</v>
      </c>
      <c r="DH7" s="501">
        <f t="shared" si="23"/>
        <v>0.21023063276167947</v>
      </c>
      <c r="DI7" s="501">
        <v>0.348019801980198</v>
      </c>
      <c r="DJ7" s="502">
        <v>0.4157303370786517</v>
      </c>
      <c r="DK7" s="499">
        <v>5216</v>
      </c>
      <c r="DL7" s="500">
        <v>4241</v>
      </c>
      <c r="DM7" s="500">
        <v>3410</v>
      </c>
      <c r="DN7" s="500">
        <v>812</v>
      </c>
      <c r="DO7" s="500">
        <v>812</v>
      </c>
      <c r="DP7" s="501">
        <f t="shared" si="24"/>
        <v>0.19146427729309126</v>
      </c>
      <c r="DQ7" s="501">
        <f t="shared" si="25"/>
        <v>0.23812316715542522</v>
      </c>
      <c r="DR7" s="501">
        <v>0.33435510492808301</v>
      </c>
      <c r="DS7" s="502">
        <v>0.4158357771260997</v>
      </c>
      <c r="DT7" s="499">
        <v>5985</v>
      </c>
      <c r="DU7" s="500">
        <v>4735</v>
      </c>
      <c r="DV7" s="500">
        <v>3767</v>
      </c>
      <c r="DW7" s="500">
        <v>804</v>
      </c>
      <c r="DX7" s="500">
        <v>802</v>
      </c>
      <c r="DY7" s="501">
        <f t="shared" si="26"/>
        <v>0.16979936642027454</v>
      </c>
      <c r="DZ7" s="501">
        <f t="shared" si="27"/>
        <v>0.21343243960711442</v>
      </c>
      <c r="EA7" s="501">
        <v>0.21436114044350582</v>
      </c>
      <c r="EB7" s="502">
        <v>0.26944518184231486</v>
      </c>
    </row>
    <row r="8" spans="1:132" s="2" customFormat="1" x14ac:dyDescent="0.25">
      <c r="A8" s="503" t="s">
        <v>553</v>
      </c>
      <c r="B8" s="504" t="s">
        <v>151</v>
      </c>
      <c r="C8" s="505" t="s">
        <v>152</v>
      </c>
      <c r="D8" s="506">
        <v>2134</v>
      </c>
      <c r="E8" s="507">
        <v>2006</v>
      </c>
      <c r="F8" s="507">
        <v>1750</v>
      </c>
      <c r="G8" s="507">
        <v>476</v>
      </c>
      <c r="H8" s="507">
        <v>280</v>
      </c>
      <c r="I8" s="508">
        <f t="shared" si="28"/>
        <v>0.23728813559322035</v>
      </c>
      <c r="J8" s="509">
        <f t="shared" si="29"/>
        <v>0.27200000000000002</v>
      </c>
      <c r="K8" s="506">
        <v>2225</v>
      </c>
      <c r="L8" s="507">
        <v>2104</v>
      </c>
      <c r="M8" s="507">
        <v>1848</v>
      </c>
      <c r="N8" s="507">
        <v>484</v>
      </c>
      <c r="O8" s="507">
        <v>301</v>
      </c>
      <c r="P8" s="508">
        <f t="shared" si="30"/>
        <v>0.23003802281368821</v>
      </c>
      <c r="Q8" s="509">
        <f t="shared" si="31"/>
        <v>0.26190476190476192</v>
      </c>
      <c r="R8" s="506">
        <v>2171</v>
      </c>
      <c r="S8" s="507">
        <v>2017</v>
      </c>
      <c r="T8" s="507">
        <v>1731</v>
      </c>
      <c r="U8" s="507">
        <v>462</v>
      </c>
      <c r="V8" s="507">
        <v>313</v>
      </c>
      <c r="W8" s="508">
        <f t="shared" si="32"/>
        <v>0.22905304908279622</v>
      </c>
      <c r="X8" s="509">
        <f t="shared" si="33"/>
        <v>0.26689774696707108</v>
      </c>
      <c r="Y8" s="506">
        <v>2328</v>
      </c>
      <c r="Z8" s="507">
        <v>2138</v>
      </c>
      <c r="AA8" s="507">
        <v>1586</v>
      </c>
      <c r="AB8" s="507">
        <v>378</v>
      </c>
      <c r="AC8" s="507">
        <v>291</v>
      </c>
      <c r="AD8" s="508">
        <f t="shared" si="0"/>
        <v>0.17680074836295603</v>
      </c>
      <c r="AE8" s="509">
        <f t="shared" si="1"/>
        <v>0.23833543505674654</v>
      </c>
      <c r="AF8" s="506">
        <v>2719</v>
      </c>
      <c r="AG8" s="507">
        <v>2485</v>
      </c>
      <c r="AH8" s="507">
        <v>1827</v>
      </c>
      <c r="AI8" s="507">
        <v>350</v>
      </c>
      <c r="AJ8" s="507">
        <v>315</v>
      </c>
      <c r="AK8" s="508">
        <f t="shared" si="2"/>
        <v>0.14084507042253522</v>
      </c>
      <c r="AL8" s="509">
        <f t="shared" si="3"/>
        <v>0.19157088122605365</v>
      </c>
      <c r="AM8" s="506">
        <v>2690</v>
      </c>
      <c r="AN8" s="507">
        <v>2460</v>
      </c>
      <c r="AO8" s="507">
        <v>2048</v>
      </c>
      <c r="AP8" s="507">
        <v>384</v>
      </c>
      <c r="AQ8" s="507">
        <v>262</v>
      </c>
      <c r="AR8" s="508">
        <f t="shared" si="4"/>
        <v>0.15609756097560976</v>
      </c>
      <c r="AS8" s="509">
        <f t="shared" si="5"/>
        <v>0.1875</v>
      </c>
      <c r="AT8" s="506">
        <v>2573</v>
      </c>
      <c r="AU8" s="507">
        <v>2403</v>
      </c>
      <c r="AV8" s="507">
        <v>1924</v>
      </c>
      <c r="AW8" s="507">
        <v>442</v>
      </c>
      <c r="AX8" s="507">
        <v>318</v>
      </c>
      <c r="AY8" s="508">
        <f t="shared" si="6"/>
        <v>0.18393674573449853</v>
      </c>
      <c r="AZ8" s="509">
        <f t="shared" si="7"/>
        <v>0.22972972972972974</v>
      </c>
      <c r="BA8" s="506">
        <v>2954</v>
      </c>
      <c r="BB8" s="507">
        <v>2723</v>
      </c>
      <c r="BC8" s="507">
        <v>2080</v>
      </c>
      <c r="BD8" s="507">
        <v>437</v>
      </c>
      <c r="BE8" s="507">
        <v>323</v>
      </c>
      <c r="BF8" s="508">
        <f t="shared" si="8"/>
        <v>0.16048475945648183</v>
      </c>
      <c r="BG8" s="509">
        <f t="shared" si="9"/>
        <v>0.21009615384615385</v>
      </c>
      <c r="BH8" s="506">
        <v>2954</v>
      </c>
      <c r="BI8" s="507">
        <v>2710</v>
      </c>
      <c r="BJ8" s="507">
        <v>2029</v>
      </c>
      <c r="BK8" s="507">
        <v>414</v>
      </c>
      <c r="BL8" s="507">
        <v>322</v>
      </c>
      <c r="BM8" s="508">
        <f t="shared" si="10"/>
        <v>0.15276752767527677</v>
      </c>
      <c r="BN8" s="509">
        <f t="shared" si="11"/>
        <v>0.20404139970428783</v>
      </c>
      <c r="BO8" s="506">
        <v>2918</v>
      </c>
      <c r="BP8" s="507">
        <v>2675</v>
      </c>
      <c r="BQ8" s="507">
        <v>1899</v>
      </c>
      <c r="BR8" s="507">
        <v>405</v>
      </c>
      <c r="BS8" s="507">
        <v>312</v>
      </c>
      <c r="BT8" s="508">
        <f t="shared" si="12"/>
        <v>0.15140186915887852</v>
      </c>
      <c r="BU8" s="509">
        <f t="shared" si="13"/>
        <v>0.2132701421800948</v>
      </c>
      <c r="BV8" s="506">
        <v>2821</v>
      </c>
      <c r="BW8" s="507">
        <v>2605</v>
      </c>
      <c r="BX8" s="507">
        <v>2111</v>
      </c>
      <c r="BY8" s="507">
        <v>468</v>
      </c>
      <c r="BZ8" s="507">
        <v>309</v>
      </c>
      <c r="CA8" s="508">
        <f t="shared" si="14"/>
        <v>0.17965451055662188</v>
      </c>
      <c r="CB8" s="509">
        <f t="shared" si="15"/>
        <v>0.22169587873045951</v>
      </c>
      <c r="CC8" s="506">
        <v>2655</v>
      </c>
      <c r="CD8" s="507">
        <v>2416</v>
      </c>
      <c r="CE8" s="507">
        <v>2012</v>
      </c>
      <c r="CF8" s="507">
        <v>358</v>
      </c>
      <c r="CG8" s="507">
        <v>335</v>
      </c>
      <c r="CH8" s="508">
        <f t="shared" si="16"/>
        <v>0.14817880794701987</v>
      </c>
      <c r="CI8" s="509">
        <f t="shared" si="17"/>
        <v>0.17793240556660039</v>
      </c>
      <c r="CJ8" s="506">
        <v>2789</v>
      </c>
      <c r="CK8" s="507">
        <v>2570</v>
      </c>
      <c r="CL8" s="507">
        <v>2056</v>
      </c>
      <c r="CM8" s="507">
        <v>403</v>
      </c>
      <c r="CN8" s="507">
        <v>370</v>
      </c>
      <c r="CO8" s="508">
        <f t="shared" si="18"/>
        <v>0.15680933852140078</v>
      </c>
      <c r="CP8" s="508">
        <f t="shared" si="19"/>
        <v>0.19601167315175097</v>
      </c>
      <c r="CQ8" s="508">
        <v>0.19143968871595332</v>
      </c>
      <c r="CR8" s="509">
        <v>0.23929961089494164</v>
      </c>
      <c r="CS8" s="506">
        <v>2692</v>
      </c>
      <c r="CT8" s="507">
        <v>2450</v>
      </c>
      <c r="CU8" s="507">
        <v>1958</v>
      </c>
      <c r="CV8" s="507">
        <v>434</v>
      </c>
      <c r="CW8" s="507">
        <v>333</v>
      </c>
      <c r="CX8" s="508">
        <f t="shared" si="20"/>
        <v>0.17714285714285713</v>
      </c>
      <c r="CY8" s="508">
        <f t="shared" si="21"/>
        <v>0.22165474974463739</v>
      </c>
      <c r="CZ8" s="508">
        <v>0.18530612244897959</v>
      </c>
      <c r="DA8" s="509">
        <v>0.23186925434116445</v>
      </c>
      <c r="DB8" s="506">
        <v>2813</v>
      </c>
      <c r="DC8" s="507">
        <v>2559</v>
      </c>
      <c r="DD8" s="507">
        <v>2080</v>
      </c>
      <c r="DE8" s="507">
        <v>448</v>
      </c>
      <c r="DF8" s="507">
        <v>342</v>
      </c>
      <c r="DG8" s="508">
        <f t="shared" si="22"/>
        <v>0.17506838608831574</v>
      </c>
      <c r="DH8" s="508">
        <f t="shared" si="23"/>
        <v>0.2153846153846154</v>
      </c>
      <c r="DI8" s="508">
        <v>0.1981242672919109</v>
      </c>
      <c r="DJ8" s="509">
        <v>0.24374999999999999</v>
      </c>
      <c r="DK8" s="506">
        <v>3270</v>
      </c>
      <c r="DL8" s="507">
        <v>2932</v>
      </c>
      <c r="DM8" s="507">
        <v>2406</v>
      </c>
      <c r="DN8" s="507">
        <v>462</v>
      </c>
      <c r="DO8" s="507">
        <v>359</v>
      </c>
      <c r="DP8" s="508">
        <f t="shared" si="24"/>
        <v>0.15757162346521145</v>
      </c>
      <c r="DQ8" s="508">
        <f t="shared" si="25"/>
        <v>0.19201995012468828</v>
      </c>
      <c r="DR8" s="508">
        <v>0.17326057298772168</v>
      </c>
      <c r="DS8" s="509">
        <v>0.2111388196176226</v>
      </c>
      <c r="DT8" s="506">
        <v>3420</v>
      </c>
      <c r="DU8" s="507">
        <v>3058</v>
      </c>
      <c r="DV8" s="507">
        <v>2634</v>
      </c>
      <c r="DW8" s="507">
        <v>393</v>
      </c>
      <c r="DX8" s="507">
        <v>393</v>
      </c>
      <c r="DY8" s="508">
        <f t="shared" si="26"/>
        <v>0.12851536952256376</v>
      </c>
      <c r="DZ8" s="508">
        <f t="shared" si="27"/>
        <v>0.14920273348519361</v>
      </c>
      <c r="EA8" s="508">
        <v>0.15631131458469588</v>
      </c>
      <c r="EB8" s="509">
        <v>0.18147304479878512</v>
      </c>
    </row>
    <row r="9" spans="1:132" s="2" customFormat="1" x14ac:dyDescent="0.25">
      <c r="A9" s="503" t="s">
        <v>553</v>
      </c>
      <c r="B9" s="504" t="s">
        <v>153</v>
      </c>
      <c r="C9" s="505" t="s">
        <v>154</v>
      </c>
      <c r="D9" s="506">
        <v>1528</v>
      </c>
      <c r="E9" s="507">
        <v>1475</v>
      </c>
      <c r="F9" s="507">
        <v>1050</v>
      </c>
      <c r="G9" s="507">
        <v>220</v>
      </c>
      <c r="H9" s="507">
        <v>190</v>
      </c>
      <c r="I9" s="508">
        <f t="shared" si="28"/>
        <v>0.14915254237288136</v>
      </c>
      <c r="J9" s="509">
        <f t="shared" si="29"/>
        <v>0.20952380952380953</v>
      </c>
      <c r="K9" s="506">
        <v>1995</v>
      </c>
      <c r="L9" s="507">
        <v>1893</v>
      </c>
      <c r="M9" s="507">
        <v>1634</v>
      </c>
      <c r="N9" s="507">
        <v>261</v>
      </c>
      <c r="O9" s="507">
        <v>192</v>
      </c>
      <c r="P9" s="508">
        <f t="shared" si="30"/>
        <v>0.13787638668779714</v>
      </c>
      <c r="Q9" s="509">
        <f t="shared" si="31"/>
        <v>0.15973072215422277</v>
      </c>
      <c r="R9" s="506">
        <v>1688</v>
      </c>
      <c r="S9" s="507">
        <v>1607</v>
      </c>
      <c r="T9" s="507">
        <v>1399</v>
      </c>
      <c r="U9" s="507">
        <v>235</v>
      </c>
      <c r="V9" s="507">
        <v>190</v>
      </c>
      <c r="W9" s="508">
        <f t="shared" si="32"/>
        <v>0.1462352209085252</v>
      </c>
      <c r="X9" s="509">
        <f t="shared" si="33"/>
        <v>0.16797712651894209</v>
      </c>
      <c r="Y9" s="506">
        <v>1701</v>
      </c>
      <c r="Z9" s="507">
        <v>1648</v>
      </c>
      <c r="AA9" s="507">
        <v>1278</v>
      </c>
      <c r="AB9" s="507">
        <v>243</v>
      </c>
      <c r="AC9" s="507">
        <v>207</v>
      </c>
      <c r="AD9" s="508">
        <f t="shared" si="0"/>
        <v>0.1474514563106796</v>
      </c>
      <c r="AE9" s="509">
        <f t="shared" si="1"/>
        <v>0.19014084507042253</v>
      </c>
      <c r="AF9" s="506">
        <v>1860</v>
      </c>
      <c r="AG9" s="507">
        <v>1804</v>
      </c>
      <c r="AH9" s="507">
        <v>1376</v>
      </c>
      <c r="AI9" s="507">
        <v>211</v>
      </c>
      <c r="AJ9" s="507">
        <v>188</v>
      </c>
      <c r="AK9" s="508">
        <f t="shared" si="2"/>
        <v>0.11696230598669623</v>
      </c>
      <c r="AL9" s="509">
        <f t="shared" si="3"/>
        <v>0.15334302325581395</v>
      </c>
      <c r="AM9" s="506">
        <v>1715</v>
      </c>
      <c r="AN9" s="507">
        <v>1647</v>
      </c>
      <c r="AO9" s="507">
        <v>1162</v>
      </c>
      <c r="AP9" s="507">
        <v>213</v>
      </c>
      <c r="AQ9" s="507">
        <v>191</v>
      </c>
      <c r="AR9" s="508">
        <f t="shared" si="4"/>
        <v>0.12932604735883424</v>
      </c>
      <c r="AS9" s="509">
        <f t="shared" si="5"/>
        <v>0.18330464716006883</v>
      </c>
      <c r="AT9" s="506">
        <v>1915</v>
      </c>
      <c r="AU9" s="507">
        <v>1842</v>
      </c>
      <c r="AV9" s="507">
        <v>1471</v>
      </c>
      <c r="AW9" s="507">
        <v>256</v>
      </c>
      <c r="AX9" s="507">
        <v>208</v>
      </c>
      <c r="AY9" s="508">
        <f t="shared" si="6"/>
        <v>0.13897937024972856</v>
      </c>
      <c r="AZ9" s="509">
        <f t="shared" si="7"/>
        <v>0.17403127124405166</v>
      </c>
      <c r="BA9" s="506">
        <v>1989</v>
      </c>
      <c r="BB9" s="507">
        <v>1906</v>
      </c>
      <c r="BC9" s="507">
        <v>1521</v>
      </c>
      <c r="BD9" s="507">
        <v>257</v>
      </c>
      <c r="BE9" s="507">
        <v>212</v>
      </c>
      <c r="BF9" s="508">
        <f t="shared" si="8"/>
        <v>0.1348373557187828</v>
      </c>
      <c r="BG9" s="509">
        <f t="shared" si="9"/>
        <v>0.16896778435239973</v>
      </c>
      <c r="BH9" s="506">
        <v>2005</v>
      </c>
      <c r="BI9" s="507">
        <v>1912</v>
      </c>
      <c r="BJ9" s="507">
        <v>1486</v>
      </c>
      <c r="BK9" s="507">
        <v>268</v>
      </c>
      <c r="BL9" s="507">
        <v>202</v>
      </c>
      <c r="BM9" s="508">
        <f t="shared" si="10"/>
        <v>0.14016736401673641</v>
      </c>
      <c r="BN9" s="509">
        <f t="shared" si="11"/>
        <v>0.18034993270524899</v>
      </c>
      <c r="BO9" s="506">
        <v>2048</v>
      </c>
      <c r="BP9" s="507">
        <v>1938</v>
      </c>
      <c r="BQ9" s="507">
        <v>1487</v>
      </c>
      <c r="BR9" s="507">
        <v>273</v>
      </c>
      <c r="BS9" s="507">
        <v>208</v>
      </c>
      <c r="BT9" s="508">
        <f t="shared" si="12"/>
        <v>0.14086687306501547</v>
      </c>
      <c r="BU9" s="509">
        <f t="shared" si="13"/>
        <v>0.18359112306657699</v>
      </c>
      <c r="BV9" s="506">
        <v>2121</v>
      </c>
      <c r="BW9" s="507">
        <v>1961</v>
      </c>
      <c r="BX9" s="507">
        <v>1522</v>
      </c>
      <c r="BY9" s="507">
        <v>345</v>
      </c>
      <c r="BZ9" s="507">
        <v>273</v>
      </c>
      <c r="CA9" s="508">
        <f t="shared" si="14"/>
        <v>0.17593064762876084</v>
      </c>
      <c r="CB9" s="509">
        <f t="shared" si="15"/>
        <v>0.22667542706964519</v>
      </c>
      <c r="CC9" s="506">
        <v>1930</v>
      </c>
      <c r="CD9" s="507">
        <v>1797</v>
      </c>
      <c r="CE9" s="507">
        <v>1500</v>
      </c>
      <c r="CF9" s="507">
        <v>385</v>
      </c>
      <c r="CG9" s="507">
        <v>319</v>
      </c>
      <c r="CH9" s="508">
        <f t="shared" si="16"/>
        <v>0.2142459654980523</v>
      </c>
      <c r="CI9" s="509">
        <f t="shared" si="17"/>
        <v>0.25666666666666665</v>
      </c>
      <c r="CJ9" s="506">
        <v>2137</v>
      </c>
      <c r="CK9" s="507">
        <v>2019</v>
      </c>
      <c r="CL9" s="507">
        <v>1479</v>
      </c>
      <c r="CM9" s="507">
        <v>299</v>
      </c>
      <c r="CN9" s="507">
        <v>277</v>
      </c>
      <c r="CO9" s="508">
        <f t="shared" si="18"/>
        <v>0.14809311540366518</v>
      </c>
      <c r="CP9" s="508">
        <f t="shared" si="19"/>
        <v>0.20216362407031779</v>
      </c>
      <c r="CQ9" s="508">
        <v>0.14809311540366518</v>
      </c>
      <c r="CR9" s="509">
        <v>0.20216362407031779</v>
      </c>
      <c r="CS9" s="506">
        <v>2112</v>
      </c>
      <c r="CT9" s="507">
        <v>1971</v>
      </c>
      <c r="CU9" s="507">
        <v>1510</v>
      </c>
      <c r="CV9" s="507">
        <v>350</v>
      </c>
      <c r="CW9" s="507">
        <v>290</v>
      </c>
      <c r="CX9" s="508">
        <f t="shared" si="20"/>
        <v>0.17757483510908167</v>
      </c>
      <c r="CY9" s="508">
        <f t="shared" si="21"/>
        <v>0.23178807947019867</v>
      </c>
      <c r="CZ9" s="508">
        <v>0.18011161846778284</v>
      </c>
      <c r="DA9" s="509">
        <v>0.23509933774834438</v>
      </c>
      <c r="DB9" s="506">
        <v>2256</v>
      </c>
      <c r="DC9" s="507">
        <v>2092</v>
      </c>
      <c r="DD9" s="507">
        <v>1491</v>
      </c>
      <c r="DE9" s="507">
        <v>370</v>
      </c>
      <c r="DF9" s="507">
        <v>321</v>
      </c>
      <c r="DG9" s="508">
        <f t="shared" si="22"/>
        <v>0.17686424474187382</v>
      </c>
      <c r="DH9" s="508">
        <f t="shared" si="23"/>
        <v>0.24815560026827632</v>
      </c>
      <c r="DI9" s="508">
        <v>0.1835564053537285</v>
      </c>
      <c r="DJ9" s="509">
        <v>0.25754527162977869</v>
      </c>
      <c r="DK9" s="506">
        <v>2607</v>
      </c>
      <c r="DL9" s="507">
        <v>2404</v>
      </c>
      <c r="DM9" s="507">
        <v>1752</v>
      </c>
      <c r="DN9" s="507">
        <v>425</v>
      </c>
      <c r="DO9" s="507">
        <v>364</v>
      </c>
      <c r="DP9" s="508">
        <f t="shared" si="24"/>
        <v>0.17678868552412647</v>
      </c>
      <c r="DQ9" s="508">
        <f t="shared" si="25"/>
        <v>0.24257990867579909</v>
      </c>
      <c r="DR9" s="508">
        <v>0.18344425956738769</v>
      </c>
      <c r="DS9" s="509">
        <v>0.25171232876712329</v>
      </c>
      <c r="DT9" s="506">
        <v>2713</v>
      </c>
      <c r="DU9" s="507">
        <v>2483</v>
      </c>
      <c r="DV9" s="507">
        <v>1889</v>
      </c>
      <c r="DW9" s="507">
        <v>420</v>
      </c>
      <c r="DX9" s="507">
        <v>363</v>
      </c>
      <c r="DY9" s="508">
        <f t="shared" si="26"/>
        <v>0.16915022150624245</v>
      </c>
      <c r="DZ9" s="508">
        <f t="shared" si="27"/>
        <v>0.22233986236103759</v>
      </c>
      <c r="EA9" s="508">
        <v>0.17156665324204592</v>
      </c>
      <c r="EB9" s="509">
        <v>0.22551614610905241</v>
      </c>
    </row>
    <row r="10" spans="1:132" s="2" customFormat="1" x14ac:dyDescent="0.25">
      <c r="A10" s="503" t="s">
        <v>553</v>
      </c>
      <c r="B10" s="504" t="s">
        <v>155</v>
      </c>
      <c r="C10" s="505" t="s">
        <v>156</v>
      </c>
      <c r="D10" s="506">
        <v>1720</v>
      </c>
      <c r="E10" s="507">
        <v>1402</v>
      </c>
      <c r="F10" s="507">
        <v>1105</v>
      </c>
      <c r="G10" s="507">
        <v>439</v>
      </c>
      <c r="H10" s="507">
        <v>278</v>
      </c>
      <c r="I10" s="508">
        <f t="shared" si="28"/>
        <v>0.31312410841654781</v>
      </c>
      <c r="J10" s="509">
        <f t="shared" si="29"/>
        <v>0.39728506787330314</v>
      </c>
      <c r="K10" s="506">
        <v>1714</v>
      </c>
      <c r="L10" s="507">
        <v>1397</v>
      </c>
      <c r="M10" s="507">
        <v>1143</v>
      </c>
      <c r="N10" s="507">
        <v>454</v>
      </c>
      <c r="O10" s="507">
        <v>261</v>
      </c>
      <c r="P10" s="508">
        <f t="shared" si="30"/>
        <v>0.32498210450966358</v>
      </c>
      <c r="Q10" s="509">
        <f t="shared" si="31"/>
        <v>0.39720034995625547</v>
      </c>
      <c r="R10" s="506">
        <v>1820</v>
      </c>
      <c r="S10" s="507">
        <v>1470</v>
      </c>
      <c r="T10" s="507">
        <v>1219</v>
      </c>
      <c r="U10" s="507">
        <v>475</v>
      </c>
      <c r="V10" s="507">
        <v>292</v>
      </c>
      <c r="W10" s="508">
        <f t="shared" si="32"/>
        <v>0.3231292517006803</v>
      </c>
      <c r="X10" s="509">
        <f t="shared" si="33"/>
        <v>0.38966365873666942</v>
      </c>
      <c r="Y10" s="506">
        <v>1791</v>
      </c>
      <c r="Z10" s="507">
        <v>1453</v>
      </c>
      <c r="AA10" s="507">
        <v>1270</v>
      </c>
      <c r="AB10" s="507">
        <v>409</v>
      </c>
      <c r="AC10" s="507">
        <v>230</v>
      </c>
      <c r="AD10" s="508">
        <f t="shared" si="0"/>
        <v>0.28148657949070888</v>
      </c>
      <c r="AE10" s="509">
        <f t="shared" si="1"/>
        <v>0.32204724409448821</v>
      </c>
      <c r="AF10" s="506">
        <v>1710</v>
      </c>
      <c r="AG10" s="507">
        <v>1399</v>
      </c>
      <c r="AH10" s="507">
        <v>1210</v>
      </c>
      <c r="AI10" s="507">
        <v>415</v>
      </c>
      <c r="AJ10" s="507">
        <v>265</v>
      </c>
      <c r="AK10" s="508">
        <f t="shared" si="2"/>
        <v>0.29664045746962114</v>
      </c>
      <c r="AL10" s="509">
        <f t="shared" si="3"/>
        <v>0.34297520661157027</v>
      </c>
      <c r="AM10" s="506">
        <v>1921</v>
      </c>
      <c r="AN10" s="507">
        <v>1561</v>
      </c>
      <c r="AO10" s="507">
        <v>1253</v>
      </c>
      <c r="AP10" s="507">
        <v>423</v>
      </c>
      <c r="AQ10" s="507">
        <v>275</v>
      </c>
      <c r="AR10" s="508">
        <f t="shared" si="4"/>
        <v>0.27098014093529788</v>
      </c>
      <c r="AS10" s="509">
        <f t="shared" si="5"/>
        <v>0.33758978451715882</v>
      </c>
      <c r="AT10" s="506">
        <v>2036</v>
      </c>
      <c r="AU10" s="507">
        <v>1657</v>
      </c>
      <c r="AV10" s="507">
        <v>1296</v>
      </c>
      <c r="AW10" s="507">
        <v>423</v>
      </c>
      <c r="AX10" s="507">
        <v>278</v>
      </c>
      <c r="AY10" s="508">
        <f t="shared" si="6"/>
        <v>0.25528062764031384</v>
      </c>
      <c r="AZ10" s="509">
        <f t="shared" si="7"/>
        <v>0.3263888888888889</v>
      </c>
      <c r="BA10" s="506">
        <v>2067</v>
      </c>
      <c r="BB10" s="507">
        <v>1696</v>
      </c>
      <c r="BC10" s="507">
        <v>1433</v>
      </c>
      <c r="BD10" s="507">
        <v>456</v>
      </c>
      <c r="BE10" s="507">
        <v>227</v>
      </c>
      <c r="BF10" s="508">
        <f t="shared" si="8"/>
        <v>0.26886792452830188</v>
      </c>
      <c r="BG10" s="509">
        <f t="shared" si="9"/>
        <v>0.31821353803210051</v>
      </c>
      <c r="BH10" s="506">
        <v>2094</v>
      </c>
      <c r="BI10" s="507">
        <v>1730</v>
      </c>
      <c r="BJ10" s="507">
        <v>1486</v>
      </c>
      <c r="BK10" s="507">
        <v>256</v>
      </c>
      <c r="BL10" s="507">
        <v>256</v>
      </c>
      <c r="BM10" s="508">
        <f t="shared" si="10"/>
        <v>0.14797687861271677</v>
      </c>
      <c r="BN10" s="509">
        <f t="shared" si="11"/>
        <v>0.17227456258411844</v>
      </c>
      <c r="BO10" s="506">
        <v>1922</v>
      </c>
      <c r="BP10" s="507">
        <v>1633</v>
      </c>
      <c r="BQ10" s="507">
        <v>1305</v>
      </c>
      <c r="BR10" s="507">
        <v>238</v>
      </c>
      <c r="BS10" s="507">
        <v>238</v>
      </c>
      <c r="BT10" s="508">
        <f t="shared" si="12"/>
        <v>0.14574402939375383</v>
      </c>
      <c r="BU10" s="509">
        <f t="shared" si="13"/>
        <v>0.18237547892720307</v>
      </c>
      <c r="BV10" s="506">
        <v>2091</v>
      </c>
      <c r="BW10" s="507">
        <v>1711</v>
      </c>
      <c r="BX10" s="507">
        <v>1206</v>
      </c>
      <c r="BY10" s="507">
        <v>286</v>
      </c>
      <c r="BZ10" s="507">
        <v>286</v>
      </c>
      <c r="CA10" s="508">
        <f t="shared" si="14"/>
        <v>0.16715371127995324</v>
      </c>
      <c r="CB10" s="509">
        <f t="shared" si="15"/>
        <v>0.23714759535655058</v>
      </c>
      <c r="CC10" s="506">
        <v>2081</v>
      </c>
      <c r="CD10" s="507">
        <v>1708</v>
      </c>
      <c r="CE10" s="507">
        <v>1364</v>
      </c>
      <c r="CF10" s="507">
        <v>300</v>
      </c>
      <c r="CG10" s="507">
        <v>300</v>
      </c>
      <c r="CH10" s="508">
        <f t="shared" si="16"/>
        <v>0.1756440281030445</v>
      </c>
      <c r="CI10" s="509">
        <f t="shared" si="17"/>
        <v>0.21994134897360704</v>
      </c>
      <c r="CJ10" s="506">
        <v>2151</v>
      </c>
      <c r="CK10" s="507">
        <v>1756</v>
      </c>
      <c r="CL10" s="507">
        <v>1395</v>
      </c>
      <c r="CM10" s="507">
        <v>320</v>
      </c>
      <c r="CN10" s="507">
        <v>320</v>
      </c>
      <c r="CO10" s="508">
        <f t="shared" si="18"/>
        <v>0.18223234624145787</v>
      </c>
      <c r="CP10" s="508">
        <f t="shared" si="19"/>
        <v>0.22939068100358423</v>
      </c>
      <c r="CQ10" s="508">
        <v>0.2386104783599089</v>
      </c>
      <c r="CR10" s="509">
        <v>0.30035842293906811</v>
      </c>
      <c r="CS10" s="506">
        <v>2212</v>
      </c>
      <c r="CT10" s="507">
        <v>1806</v>
      </c>
      <c r="CU10" s="507">
        <v>1534</v>
      </c>
      <c r="CV10" s="507">
        <v>332</v>
      </c>
      <c r="CW10" s="507">
        <v>331</v>
      </c>
      <c r="CX10" s="508">
        <f t="shared" si="20"/>
        <v>0.18383167220376523</v>
      </c>
      <c r="CY10" s="508">
        <f t="shared" si="21"/>
        <v>0.21642764015645372</v>
      </c>
      <c r="CZ10" s="508">
        <v>0.2425249169435216</v>
      </c>
      <c r="DA10" s="509">
        <v>0.28552803129074317</v>
      </c>
      <c r="DB10" s="506">
        <v>2456</v>
      </c>
      <c r="DC10" s="507">
        <v>1979</v>
      </c>
      <c r="DD10" s="507">
        <v>1650</v>
      </c>
      <c r="DE10" s="507">
        <v>395</v>
      </c>
      <c r="DF10" s="507">
        <v>395</v>
      </c>
      <c r="DG10" s="508">
        <f t="shared" si="22"/>
        <v>0.19959575543203639</v>
      </c>
      <c r="DH10" s="508">
        <f t="shared" si="23"/>
        <v>0.23939393939393938</v>
      </c>
      <c r="DI10" s="508">
        <v>0.32743810005053059</v>
      </c>
      <c r="DJ10" s="509">
        <v>0.3927272727272727</v>
      </c>
      <c r="DK10" s="506">
        <v>2953</v>
      </c>
      <c r="DL10" s="507">
        <v>2405</v>
      </c>
      <c r="DM10" s="507">
        <v>2070</v>
      </c>
      <c r="DN10" s="507">
        <v>338</v>
      </c>
      <c r="DO10" s="507">
        <v>336</v>
      </c>
      <c r="DP10" s="508">
        <f t="shared" si="24"/>
        <v>0.14054054054054055</v>
      </c>
      <c r="DQ10" s="508">
        <f t="shared" si="25"/>
        <v>0.16328502415458937</v>
      </c>
      <c r="DR10" s="508">
        <v>0.30062370062370064</v>
      </c>
      <c r="DS10" s="509">
        <v>0.3492753623188406</v>
      </c>
      <c r="DT10" s="506">
        <v>2992</v>
      </c>
      <c r="DU10" s="507">
        <v>2422</v>
      </c>
      <c r="DV10" s="507">
        <v>1949</v>
      </c>
      <c r="DW10" s="507">
        <v>362</v>
      </c>
      <c r="DX10" s="507">
        <v>362</v>
      </c>
      <c r="DY10" s="508">
        <f t="shared" si="26"/>
        <v>0.1494632535094963</v>
      </c>
      <c r="DZ10" s="508">
        <f t="shared" si="27"/>
        <v>0.18573627501282708</v>
      </c>
      <c r="EA10" s="508">
        <v>0.19694467382328654</v>
      </c>
      <c r="EB10" s="509">
        <v>0.24474089276552077</v>
      </c>
    </row>
    <row r="11" spans="1:132" s="2" customFormat="1" x14ac:dyDescent="0.25">
      <c r="A11" s="503" t="s">
        <v>553</v>
      </c>
      <c r="B11" s="504" t="s">
        <v>157</v>
      </c>
      <c r="C11" s="505" t="s">
        <v>158</v>
      </c>
      <c r="D11" s="506">
        <v>1933</v>
      </c>
      <c r="E11" s="507">
        <v>1612</v>
      </c>
      <c r="F11" s="507">
        <v>1389</v>
      </c>
      <c r="G11" s="507">
        <v>437</v>
      </c>
      <c r="H11" s="507">
        <v>256</v>
      </c>
      <c r="I11" s="508">
        <f t="shared" si="28"/>
        <v>0.27109181141439204</v>
      </c>
      <c r="J11" s="509">
        <f t="shared" si="29"/>
        <v>0.31461483081353492</v>
      </c>
      <c r="K11" s="506">
        <v>1773</v>
      </c>
      <c r="L11" s="507">
        <v>1513</v>
      </c>
      <c r="M11" s="507">
        <v>1188</v>
      </c>
      <c r="N11" s="507">
        <v>425</v>
      </c>
      <c r="O11" s="507">
        <v>292</v>
      </c>
      <c r="P11" s="508">
        <f t="shared" si="30"/>
        <v>0.2808988764044944</v>
      </c>
      <c r="Q11" s="509">
        <f t="shared" si="31"/>
        <v>0.35774410774410775</v>
      </c>
      <c r="R11" s="506">
        <v>1933</v>
      </c>
      <c r="S11" s="507">
        <v>1606</v>
      </c>
      <c r="T11" s="507">
        <v>1305</v>
      </c>
      <c r="U11" s="507">
        <v>409</v>
      </c>
      <c r="V11" s="507">
        <v>255</v>
      </c>
      <c r="W11" s="508">
        <f t="shared" si="32"/>
        <v>0.25466998754669989</v>
      </c>
      <c r="X11" s="509">
        <f t="shared" si="33"/>
        <v>0.31340996168582375</v>
      </c>
      <c r="Y11" s="506">
        <v>2132</v>
      </c>
      <c r="Z11" s="507">
        <v>1781</v>
      </c>
      <c r="AA11" s="507">
        <v>1252</v>
      </c>
      <c r="AB11" s="507">
        <v>381</v>
      </c>
      <c r="AC11" s="507">
        <v>282</v>
      </c>
      <c r="AD11" s="508">
        <f t="shared" si="0"/>
        <v>0.21392476137001684</v>
      </c>
      <c r="AE11" s="509">
        <f t="shared" si="1"/>
        <v>0.30431309904153353</v>
      </c>
      <c r="AF11" s="506">
        <v>1739</v>
      </c>
      <c r="AG11" s="507">
        <v>1453</v>
      </c>
      <c r="AH11" s="507">
        <v>1280</v>
      </c>
      <c r="AI11" s="507">
        <v>386</v>
      </c>
      <c r="AJ11" s="507">
        <v>237</v>
      </c>
      <c r="AK11" s="508">
        <f t="shared" si="2"/>
        <v>0.26565726083964214</v>
      </c>
      <c r="AL11" s="509">
        <f t="shared" si="3"/>
        <v>0.30156250000000001</v>
      </c>
      <c r="AM11" s="506">
        <v>1812</v>
      </c>
      <c r="AN11" s="507">
        <v>1534</v>
      </c>
      <c r="AO11" s="507">
        <v>1258</v>
      </c>
      <c r="AP11" s="507">
        <v>373</v>
      </c>
      <c r="AQ11" s="507">
        <v>237</v>
      </c>
      <c r="AR11" s="508">
        <f t="shared" si="4"/>
        <v>0.24315514993481094</v>
      </c>
      <c r="AS11" s="509">
        <f t="shared" si="5"/>
        <v>0.29650238473767887</v>
      </c>
      <c r="AT11" s="506">
        <v>1933</v>
      </c>
      <c r="AU11" s="507">
        <v>1639</v>
      </c>
      <c r="AV11" s="507">
        <v>1164</v>
      </c>
      <c r="AW11" s="507">
        <v>327</v>
      </c>
      <c r="AX11" s="507">
        <v>202</v>
      </c>
      <c r="AY11" s="508">
        <f t="shared" si="6"/>
        <v>0.19951189749847467</v>
      </c>
      <c r="AZ11" s="509">
        <f t="shared" si="7"/>
        <v>0.28092783505154639</v>
      </c>
      <c r="BA11" s="506">
        <v>2048</v>
      </c>
      <c r="BB11" s="507">
        <v>1742</v>
      </c>
      <c r="BC11" s="507">
        <v>1322</v>
      </c>
      <c r="BD11" s="507">
        <v>371</v>
      </c>
      <c r="BE11" s="507">
        <v>224</v>
      </c>
      <c r="BF11" s="508">
        <f t="shared" si="8"/>
        <v>0.21297359357060849</v>
      </c>
      <c r="BG11" s="509">
        <f t="shared" si="9"/>
        <v>0.2806354009077156</v>
      </c>
      <c r="BH11" s="506">
        <v>1941</v>
      </c>
      <c r="BI11" s="507">
        <v>1659</v>
      </c>
      <c r="BJ11" s="507">
        <v>1200</v>
      </c>
      <c r="BK11" s="507">
        <v>373</v>
      </c>
      <c r="BL11" s="507">
        <v>241</v>
      </c>
      <c r="BM11" s="508">
        <f t="shared" si="10"/>
        <v>0.22483423749246534</v>
      </c>
      <c r="BN11" s="509">
        <f t="shared" si="11"/>
        <v>0.31083333333333335</v>
      </c>
      <c r="BO11" s="506">
        <v>1803</v>
      </c>
      <c r="BP11" s="507">
        <v>1538</v>
      </c>
      <c r="BQ11" s="507">
        <v>1276</v>
      </c>
      <c r="BR11" s="507">
        <v>346</v>
      </c>
      <c r="BS11" s="507">
        <v>219</v>
      </c>
      <c r="BT11" s="508">
        <f t="shared" si="12"/>
        <v>0.22496749024707413</v>
      </c>
      <c r="BU11" s="509">
        <f t="shared" si="13"/>
        <v>0.2711598746081505</v>
      </c>
      <c r="BV11" s="506">
        <v>2020</v>
      </c>
      <c r="BW11" s="507">
        <v>1705</v>
      </c>
      <c r="BX11" s="507">
        <v>1249</v>
      </c>
      <c r="BY11" s="507">
        <v>405</v>
      </c>
      <c r="BZ11" s="507">
        <v>293</v>
      </c>
      <c r="CA11" s="508">
        <f t="shared" si="14"/>
        <v>0.23753665689149561</v>
      </c>
      <c r="CB11" s="509">
        <f t="shared" si="15"/>
        <v>0.32425940752602084</v>
      </c>
      <c r="CC11" s="506">
        <v>1872</v>
      </c>
      <c r="CD11" s="507">
        <v>1587</v>
      </c>
      <c r="CE11" s="507">
        <v>1585</v>
      </c>
      <c r="CF11" s="507">
        <v>222</v>
      </c>
      <c r="CG11" s="507">
        <v>220</v>
      </c>
      <c r="CH11" s="508">
        <f t="shared" si="16"/>
        <v>0.13988657844990549</v>
      </c>
      <c r="CI11" s="509">
        <f t="shared" si="17"/>
        <v>0.14006309148264984</v>
      </c>
      <c r="CJ11" s="506">
        <v>1633</v>
      </c>
      <c r="CK11" s="507">
        <v>1398</v>
      </c>
      <c r="CL11" s="507">
        <v>973</v>
      </c>
      <c r="CM11" s="507">
        <v>353</v>
      </c>
      <c r="CN11" s="507">
        <v>273</v>
      </c>
      <c r="CO11" s="508">
        <f t="shared" si="18"/>
        <v>0.25250357653791128</v>
      </c>
      <c r="CP11" s="508">
        <f t="shared" si="19"/>
        <v>0.36279547790339156</v>
      </c>
      <c r="CQ11" s="508">
        <v>0.2625178826895565</v>
      </c>
      <c r="CR11" s="509">
        <v>0.37718396711202468</v>
      </c>
      <c r="CS11" s="506">
        <v>1693</v>
      </c>
      <c r="CT11" s="507">
        <v>1437</v>
      </c>
      <c r="CU11" s="507">
        <v>1013</v>
      </c>
      <c r="CV11" s="507">
        <v>365</v>
      </c>
      <c r="CW11" s="507">
        <v>260</v>
      </c>
      <c r="CX11" s="508">
        <f t="shared" si="20"/>
        <v>0.25400139178844816</v>
      </c>
      <c r="CY11" s="508">
        <f t="shared" si="21"/>
        <v>0.36031589338598224</v>
      </c>
      <c r="CZ11" s="508">
        <v>0.26026443980514963</v>
      </c>
      <c r="DA11" s="509">
        <v>0.36920039486673245</v>
      </c>
      <c r="DB11" s="506">
        <v>2031</v>
      </c>
      <c r="DC11" s="507">
        <v>1717</v>
      </c>
      <c r="DD11" s="507">
        <v>1222</v>
      </c>
      <c r="DE11" s="507">
        <v>365</v>
      </c>
      <c r="DF11" s="507">
        <v>267</v>
      </c>
      <c r="DG11" s="508">
        <f t="shared" si="22"/>
        <v>0.21258008153756552</v>
      </c>
      <c r="DH11" s="508">
        <f t="shared" si="23"/>
        <v>0.29869067103109659</v>
      </c>
      <c r="DI11" s="508">
        <v>0.22597553873034362</v>
      </c>
      <c r="DJ11" s="509">
        <v>0.31751227495908346</v>
      </c>
      <c r="DK11" s="506">
        <v>2278</v>
      </c>
      <c r="DL11" s="507">
        <v>1911</v>
      </c>
      <c r="DM11" s="507">
        <v>1590</v>
      </c>
      <c r="DN11" s="507">
        <v>503</v>
      </c>
      <c r="DO11" s="507">
        <v>304</v>
      </c>
      <c r="DP11" s="508">
        <f t="shared" si="24"/>
        <v>0.26321297749869177</v>
      </c>
      <c r="DQ11" s="508">
        <f t="shared" si="25"/>
        <v>0.31635220125786162</v>
      </c>
      <c r="DR11" s="508">
        <v>0.27681841967556253</v>
      </c>
      <c r="DS11" s="509">
        <v>0.33270440251572325</v>
      </c>
      <c r="DT11" s="506">
        <v>2393</v>
      </c>
      <c r="DU11" s="507">
        <v>1969</v>
      </c>
      <c r="DV11" s="507">
        <v>1542</v>
      </c>
      <c r="DW11" s="507">
        <v>494</v>
      </c>
      <c r="DX11" s="507">
        <v>308</v>
      </c>
      <c r="DY11" s="508">
        <f t="shared" si="26"/>
        <v>0.25088877602844084</v>
      </c>
      <c r="DZ11" s="508">
        <f t="shared" si="27"/>
        <v>0.3203631647211414</v>
      </c>
      <c r="EA11" s="508">
        <v>0.25799898425596751</v>
      </c>
      <c r="EB11" s="509">
        <v>0.32944228274967574</v>
      </c>
    </row>
    <row r="12" spans="1:132" s="2" customFormat="1" x14ac:dyDescent="0.25">
      <c r="A12" s="503" t="s">
        <v>553</v>
      </c>
      <c r="B12" s="504" t="s">
        <v>159</v>
      </c>
      <c r="C12" s="505" t="s">
        <v>160</v>
      </c>
      <c r="D12" s="506">
        <v>1017</v>
      </c>
      <c r="E12" s="507">
        <v>947</v>
      </c>
      <c r="F12" s="507">
        <v>825</v>
      </c>
      <c r="G12" s="507">
        <v>494</v>
      </c>
      <c r="H12" s="507">
        <v>320</v>
      </c>
      <c r="I12" s="508">
        <f t="shared" si="28"/>
        <v>0.52164730728616682</v>
      </c>
      <c r="J12" s="509">
        <f t="shared" si="29"/>
        <v>0.59878787878787876</v>
      </c>
      <c r="K12" s="506">
        <v>1057</v>
      </c>
      <c r="L12" s="507">
        <v>987</v>
      </c>
      <c r="M12" s="507">
        <v>878</v>
      </c>
      <c r="N12" s="507">
        <v>526</v>
      </c>
      <c r="O12" s="507">
        <v>352</v>
      </c>
      <c r="P12" s="508">
        <f t="shared" si="30"/>
        <v>0.53292806484295852</v>
      </c>
      <c r="Q12" s="509">
        <f t="shared" si="31"/>
        <v>0.59908883826879267</v>
      </c>
      <c r="R12" s="506">
        <v>883</v>
      </c>
      <c r="S12" s="507">
        <v>816</v>
      </c>
      <c r="T12" s="507">
        <v>735</v>
      </c>
      <c r="U12" s="507">
        <v>534</v>
      </c>
      <c r="V12" s="507">
        <v>391</v>
      </c>
      <c r="W12" s="508">
        <f t="shared" si="32"/>
        <v>0.65441176470588236</v>
      </c>
      <c r="X12" s="509">
        <f t="shared" si="33"/>
        <v>0.72653061224489801</v>
      </c>
      <c r="Y12" s="506">
        <v>1236</v>
      </c>
      <c r="Z12" s="507">
        <v>1155</v>
      </c>
      <c r="AA12" s="507">
        <v>997</v>
      </c>
      <c r="AB12" s="507">
        <v>382</v>
      </c>
      <c r="AC12" s="507">
        <v>315</v>
      </c>
      <c r="AD12" s="508">
        <f t="shared" si="0"/>
        <v>0.33073593073593072</v>
      </c>
      <c r="AE12" s="509">
        <f t="shared" si="1"/>
        <v>0.38314944834503512</v>
      </c>
      <c r="AF12" s="506">
        <v>1236</v>
      </c>
      <c r="AG12" s="507">
        <v>1107</v>
      </c>
      <c r="AH12" s="507">
        <v>954</v>
      </c>
      <c r="AI12" s="507">
        <v>485</v>
      </c>
      <c r="AJ12" s="507">
        <v>312</v>
      </c>
      <c r="AK12" s="508">
        <f t="shared" si="2"/>
        <v>0.43812104787714545</v>
      </c>
      <c r="AL12" s="509">
        <f t="shared" si="3"/>
        <v>0.50838574423480087</v>
      </c>
      <c r="AM12" s="506">
        <v>1111</v>
      </c>
      <c r="AN12" s="507">
        <v>1006</v>
      </c>
      <c r="AO12" s="507">
        <v>845</v>
      </c>
      <c r="AP12" s="507">
        <v>400</v>
      </c>
      <c r="AQ12" s="507">
        <v>307</v>
      </c>
      <c r="AR12" s="508">
        <f t="shared" si="4"/>
        <v>0.39761431411530818</v>
      </c>
      <c r="AS12" s="509">
        <f t="shared" si="5"/>
        <v>0.47337278106508873</v>
      </c>
      <c r="AT12" s="506">
        <v>1125</v>
      </c>
      <c r="AU12" s="507">
        <v>1048</v>
      </c>
      <c r="AV12" s="507">
        <v>800</v>
      </c>
      <c r="AW12" s="507">
        <v>470</v>
      </c>
      <c r="AX12" s="507">
        <v>373</v>
      </c>
      <c r="AY12" s="508">
        <f t="shared" si="6"/>
        <v>0.44847328244274809</v>
      </c>
      <c r="AZ12" s="509">
        <f t="shared" si="7"/>
        <v>0.58750000000000002</v>
      </c>
      <c r="BA12" s="506">
        <v>1003</v>
      </c>
      <c r="BB12" s="507">
        <v>925</v>
      </c>
      <c r="BC12" s="507">
        <v>753</v>
      </c>
      <c r="BD12" s="507">
        <v>505</v>
      </c>
      <c r="BE12" s="507">
        <v>365</v>
      </c>
      <c r="BF12" s="508">
        <f t="shared" si="8"/>
        <v>0.54594594594594592</v>
      </c>
      <c r="BG12" s="509">
        <f t="shared" si="9"/>
        <v>0.67065073041168655</v>
      </c>
      <c r="BH12" s="506">
        <v>806</v>
      </c>
      <c r="BI12" s="507">
        <v>737</v>
      </c>
      <c r="BJ12" s="507">
        <v>612</v>
      </c>
      <c r="BK12" s="507">
        <v>483</v>
      </c>
      <c r="BL12" s="507">
        <v>353</v>
      </c>
      <c r="BM12" s="508">
        <f t="shared" si="10"/>
        <v>0.65535956580732702</v>
      </c>
      <c r="BN12" s="509">
        <f t="shared" si="11"/>
        <v>0.78921568627450978</v>
      </c>
      <c r="BO12" s="506">
        <v>740</v>
      </c>
      <c r="BP12" s="507">
        <v>699</v>
      </c>
      <c r="BQ12" s="507">
        <v>599</v>
      </c>
      <c r="BR12" s="507">
        <v>469</v>
      </c>
      <c r="BS12" s="507">
        <v>323</v>
      </c>
      <c r="BT12" s="508">
        <f t="shared" si="12"/>
        <v>0.67095851216022895</v>
      </c>
      <c r="BU12" s="509">
        <f t="shared" si="13"/>
        <v>0.78297161936560933</v>
      </c>
      <c r="BV12" s="506">
        <v>655</v>
      </c>
      <c r="BW12" s="507">
        <v>609</v>
      </c>
      <c r="BX12" s="507">
        <v>538</v>
      </c>
      <c r="BY12" s="507">
        <v>432</v>
      </c>
      <c r="BZ12" s="507">
        <v>323</v>
      </c>
      <c r="CA12" s="508">
        <f t="shared" si="14"/>
        <v>0.70935960591133007</v>
      </c>
      <c r="CB12" s="509">
        <f t="shared" si="15"/>
        <v>0.80297397769516732</v>
      </c>
      <c r="CC12" s="506">
        <v>666</v>
      </c>
      <c r="CD12" s="507">
        <v>629</v>
      </c>
      <c r="CE12" s="507">
        <v>629</v>
      </c>
      <c r="CF12" s="507">
        <v>296</v>
      </c>
      <c r="CG12" s="507">
        <v>276</v>
      </c>
      <c r="CH12" s="508">
        <f t="shared" si="16"/>
        <v>0.47058823529411764</v>
      </c>
      <c r="CI12" s="509">
        <f t="shared" si="17"/>
        <v>0.47058823529411764</v>
      </c>
      <c r="CJ12" s="506">
        <v>659</v>
      </c>
      <c r="CK12" s="507">
        <v>611</v>
      </c>
      <c r="CL12" s="507">
        <v>262</v>
      </c>
      <c r="CM12" s="507">
        <v>235</v>
      </c>
      <c r="CN12" s="507">
        <v>227</v>
      </c>
      <c r="CO12" s="508">
        <f t="shared" si="18"/>
        <v>0.38461538461538464</v>
      </c>
      <c r="CP12" s="508">
        <f t="shared" si="19"/>
        <v>0.89694656488549618</v>
      </c>
      <c r="CQ12" s="508">
        <v>0.42062193126022912</v>
      </c>
      <c r="CR12" s="509">
        <v>0.98091603053435117</v>
      </c>
      <c r="CS12" s="506">
        <v>766</v>
      </c>
      <c r="CT12" s="507">
        <v>711</v>
      </c>
      <c r="CU12" s="507">
        <v>669</v>
      </c>
      <c r="CV12" s="507">
        <v>380</v>
      </c>
      <c r="CW12" s="507">
        <v>337</v>
      </c>
      <c r="CX12" s="508">
        <f t="shared" si="20"/>
        <v>0.5344585091420534</v>
      </c>
      <c r="CY12" s="508">
        <f t="shared" si="21"/>
        <v>0.56801195814648731</v>
      </c>
      <c r="CZ12" s="508">
        <v>0.5344585091420534</v>
      </c>
      <c r="DA12" s="509">
        <v>0.56801195814648731</v>
      </c>
      <c r="DB12" s="506">
        <v>854</v>
      </c>
      <c r="DC12" s="507">
        <v>796</v>
      </c>
      <c r="DD12" s="507">
        <v>735</v>
      </c>
      <c r="DE12" s="507">
        <v>440</v>
      </c>
      <c r="DF12" s="507">
        <v>384</v>
      </c>
      <c r="DG12" s="508">
        <f t="shared" si="22"/>
        <v>0.55276381909547734</v>
      </c>
      <c r="DH12" s="508">
        <f t="shared" si="23"/>
        <v>0.59863945578231292</v>
      </c>
      <c r="DI12" s="508">
        <v>0.89070351758793975</v>
      </c>
      <c r="DJ12" s="509">
        <v>0.96462585034013604</v>
      </c>
      <c r="DK12" s="506">
        <v>899</v>
      </c>
      <c r="DL12" s="507">
        <v>838</v>
      </c>
      <c r="DM12" s="507">
        <v>758</v>
      </c>
      <c r="DN12" s="507">
        <v>455</v>
      </c>
      <c r="DO12" s="507">
        <v>392</v>
      </c>
      <c r="DP12" s="508">
        <f t="shared" si="24"/>
        <v>0.54295942720763724</v>
      </c>
      <c r="DQ12" s="508">
        <f t="shared" si="25"/>
        <v>0.60026385224274403</v>
      </c>
      <c r="DR12" s="508">
        <v>0.54295942720763724</v>
      </c>
      <c r="DS12" s="509">
        <v>0.60026385224274403</v>
      </c>
      <c r="DT12" s="506">
        <v>1036</v>
      </c>
      <c r="DU12" s="507">
        <v>961</v>
      </c>
      <c r="DV12" s="507">
        <v>877</v>
      </c>
      <c r="DW12" s="507">
        <v>607</v>
      </c>
      <c r="DX12" s="507">
        <v>413</v>
      </c>
      <c r="DY12" s="508">
        <f t="shared" si="26"/>
        <v>0.63163371488033304</v>
      </c>
      <c r="DZ12" s="508">
        <f t="shared" si="27"/>
        <v>0.69213226909920178</v>
      </c>
      <c r="EA12" s="508">
        <v>0.63371488033298651</v>
      </c>
      <c r="EB12" s="509">
        <v>0.69441277080957808</v>
      </c>
    </row>
    <row r="13" spans="1:132" s="2" customFormat="1" x14ac:dyDescent="0.25">
      <c r="A13" s="503" t="s">
        <v>553</v>
      </c>
      <c r="B13" s="504" t="s">
        <v>161</v>
      </c>
      <c r="C13" s="505" t="s">
        <v>162</v>
      </c>
      <c r="D13" s="506">
        <v>8451</v>
      </c>
      <c r="E13" s="507">
        <v>5853</v>
      </c>
      <c r="F13" s="507">
        <v>4784</v>
      </c>
      <c r="G13" s="507">
        <v>1669</v>
      </c>
      <c r="H13" s="507">
        <v>1386</v>
      </c>
      <c r="I13" s="508">
        <f t="shared" si="28"/>
        <v>0.28515291303604989</v>
      </c>
      <c r="J13" s="509">
        <f t="shared" si="29"/>
        <v>0.34887123745819398</v>
      </c>
      <c r="K13" s="506">
        <v>8233</v>
      </c>
      <c r="L13" s="507">
        <v>5804</v>
      </c>
      <c r="M13" s="507">
        <v>4865</v>
      </c>
      <c r="N13" s="507">
        <v>1676</v>
      </c>
      <c r="O13" s="507">
        <v>1395</v>
      </c>
      <c r="P13" s="508">
        <f t="shared" si="30"/>
        <v>0.28876636802205374</v>
      </c>
      <c r="Q13" s="509">
        <f t="shared" si="31"/>
        <v>0.34450154162384378</v>
      </c>
      <c r="R13" s="506">
        <v>7893</v>
      </c>
      <c r="S13" s="507">
        <v>5537</v>
      </c>
      <c r="T13" s="507">
        <v>4556</v>
      </c>
      <c r="U13" s="507">
        <v>1368</v>
      </c>
      <c r="V13" s="507">
        <v>1133</v>
      </c>
      <c r="W13" s="508">
        <f t="shared" si="32"/>
        <v>0.24706519776052013</v>
      </c>
      <c r="X13" s="509">
        <f t="shared" si="33"/>
        <v>0.30026338893766463</v>
      </c>
      <c r="Y13" s="506">
        <v>7734</v>
      </c>
      <c r="Z13" s="507">
        <v>5526</v>
      </c>
      <c r="AA13" s="507">
        <v>4417</v>
      </c>
      <c r="AB13" s="507">
        <v>1291</v>
      </c>
      <c r="AC13" s="507">
        <v>1080</v>
      </c>
      <c r="AD13" s="508">
        <f t="shared" si="0"/>
        <v>0.23362287368802026</v>
      </c>
      <c r="AE13" s="509">
        <f t="shared" si="1"/>
        <v>0.29227982793751417</v>
      </c>
      <c r="AF13" s="506">
        <v>7065</v>
      </c>
      <c r="AG13" s="507">
        <v>5010</v>
      </c>
      <c r="AH13" s="507">
        <v>3968</v>
      </c>
      <c r="AI13" s="507">
        <v>1083</v>
      </c>
      <c r="AJ13" s="507">
        <v>896</v>
      </c>
      <c r="AK13" s="508">
        <f t="shared" si="2"/>
        <v>0.21616766467065868</v>
      </c>
      <c r="AL13" s="509">
        <f t="shared" si="3"/>
        <v>0.2729334677419355</v>
      </c>
      <c r="AM13" s="506">
        <v>6147</v>
      </c>
      <c r="AN13" s="507">
        <v>4309</v>
      </c>
      <c r="AO13" s="507">
        <v>3445</v>
      </c>
      <c r="AP13" s="507">
        <v>1098</v>
      </c>
      <c r="AQ13" s="507">
        <v>918</v>
      </c>
      <c r="AR13" s="508">
        <f t="shared" si="4"/>
        <v>0.25481550243676027</v>
      </c>
      <c r="AS13" s="509">
        <f t="shared" si="5"/>
        <v>0.31872278664731496</v>
      </c>
      <c r="AT13" s="506">
        <v>5964</v>
      </c>
      <c r="AU13" s="507">
        <v>4240</v>
      </c>
      <c r="AV13" s="507">
        <v>3292</v>
      </c>
      <c r="AW13" s="507">
        <v>1150</v>
      </c>
      <c r="AX13" s="507">
        <v>945</v>
      </c>
      <c r="AY13" s="508">
        <f t="shared" si="6"/>
        <v>0.27122641509433965</v>
      </c>
      <c r="AZ13" s="509">
        <f t="shared" si="7"/>
        <v>0.34933171324422846</v>
      </c>
      <c r="BA13" s="506">
        <v>6083</v>
      </c>
      <c r="BB13" s="507">
        <v>4084</v>
      </c>
      <c r="BC13" s="507">
        <v>3144</v>
      </c>
      <c r="BD13" s="507">
        <v>1139</v>
      </c>
      <c r="BE13" s="507">
        <v>900</v>
      </c>
      <c r="BF13" s="508">
        <f t="shared" si="8"/>
        <v>0.27889324191968656</v>
      </c>
      <c r="BG13" s="509">
        <f t="shared" si="9"/>
        <v>0.36227735368956743</v>
      </c>
      <c r="BH13" s="506">
        <v>5826</v>
      </c>
      <c r="BI13" s="507">
        <v>3938</v>
      </c>
      <c r="BJ13" s="507">
        <v>3027</v>
      </c>
      <c r="BK13" s="507">
        <v>931</v>
      </c>
      <c r="BL13" s="507">
        <v>930</v>
      </c>
      <c r="BM13" s="508">
        <f t="shared" si="10"/>
        <v>0.23641442356526154</v>
      </c>
      <c r="BN13" s="509">
        <f t="shared" si="11"/>
        <v>0.30756524611826891</v>
      </c>
      <c r="BO13" s="506">
        <v>5146</v>
      </c>
      <c r="BP13" s="507">
        <v>3641</v>
      </c>
      <c r="BQ13" s="507">
        <v>2688</v>
      </c>
      <c r="BR13" s="507">
        <v>954</v>
      </c>
      <c r="BS13" s="507">
        <v>948</v>
      </c>
      <c r="BT13" s="508">
        <f t="shared" si="12"/>
        <v>0.26201592968964571</v>
      </c>
      <c r="BU13" s="509">
        <f t="shared" si="13"/>
        <v>0.3549107142857143</v>
      </c>
      <c r="BV13" s="506">
        <v>5319</v>
      </c>
      <c r="BW13" s="507">
        <v>3711</v>
      </c>
      <c r="BX13" s="507">
        <v>2730</v>
      </c>
      <c r="BY13" s="507">
        <v>1273</v>
      </c>
      <c r="BZ13" s="507">
        <v>1126</v>
      </c>
      <c r="CA13" s="508">
        <f t="shared" si="14"/>
        <v>0.34303422258151439</v>
      </c>
      <c r="CB13" s="509">
        <f t="shared" si="15"/>
        <v>0.46630036630036631</v>
      </c>
      <c r="CC13" s="506">
        <v>4830</v>
      </c>
      <c r="CD13" s="507">
        <v>3369</v>
      </c>
      <c r="CE13" s="507">
        <v>2630</v>
      </c>
      <c r="CF13" s="507">
        <v>1015</v>
      </c>
      <c r="CG13" s="507">
        <v>1007</v>
      </c>
      <c r="CH13" s="508">
        <f t="shared" si="16"/>
        <v>0.3012763431285248</v>
      </c>
      <c r="CI13" s="509">
        <f t="shared" si="17"/>
        <v>0.38593155893536124</v>
      </c>
      <c r="CJ13" s="506">
        <v>5571</v>
      </c>
      <c r="CK13" s="507">
        <v>3887</v>
      </c>
      <c r="CL13" s="507">
        <v>2930</v>
      </c>
      <c r="CM13" s="507">
        <v>1058</v>
      </c>
      <c r="CN13" s="507">
        <v>1048</v>
      </c>
      <c r="CO13" s="508">
        <f t="shared" si="18"/>
        <v>0.27218934911242604</v>
      </c>
      <c r="CP13" s="508">
        <f t="shared" si="19"/>
        <v>0.36109215017064844</v>
      </c>
      <c r="CQ13" s="508">
        <v>0.32673012606122975</v>
      </c>
      <c r="CR13" s="509">
        <v>0.43344709897610922</v>
      </c>
      <c r="CS13" s="506">
        <v>5969</v>
      </c>
      <c r="CT13" s="507">
        <v>4128</v>
      </c>
      <c r="CU13" s="507">
        <v>3152</v>
      </c>
      <c r="CV13" s="507">
        <v>1050</v>
      </c>
      <c r="CW13" s="507">
        <v>1036</v>
      </c>
      <c r="CX13" s="508">
        <f t="shared" si="20"/>
        <v>0.25436046511627908</v>
      </c>
      <c r="CY13" s="508">
        <f t="shared" si="21"/>
        <v>0.33312182741116753</v>
      </c>
      <c r="CZ13" s="508">
        <v>0.28754844961240311</v>
      </c>
      <c r="DA13" s="509">
        <v>0.37658629441624364</v>
      </c>
      <c r="DB13" s="506">
        <v>6286</v>
      </c>
      <c r="DC13" s="507">
        <v>4301</v>
      </c>
      <c r="DD13" s="507">
        <v>3157</v>
      </c>
      <c r="DE13" s="507">
        <v>1087</v>
      </c>
      <c r="DF13" s="507">
        <v>1022</v>
      </c>
      <c r="DG13" s="508">
        <f t="shared" si="22"/>
        <v>0.25273192280864915</v>
      </c>
      <c r="DH13" s="508">
        <f t="shared" si="23"/>
        <v>0.34431422236300285</v>
      </c>
      <c r="DI13" s="508">
        <v>0.29876772843524763</v>
      </c>
      <c r="DJ13" s="509">
        <v>0.40703199239784604</v>
      </c>
      <c r="DK13" s="506">
        <v>5646</v>
      </c>
      <c r="DL13" s="507">
        <v>3939</v>
      </c>
      <c r="DM13" s="507">
        <v>2932</v>
      </c>
      <c r="DN13" s="507">
        <v>1112</v>
      </c>
      <c r="DO13" s="507">
        <v>1060</v>
      </c>
      <c r="DP13" s="508">
        <f t="shared" si="24"/>
        <v>0.28230515359228231</v>
      </c>
      <c r="DQ13" s="508">
        <f t="shared" si="25"/>
        <v>0.3792633015006821</v>
      </c>
      <c r="DR13" s="508">
        <v>0.32520944402132523</v>
      </c>
      <c r="DS13" s="509">
        <v>0.43690313778990453</v>
      </c>
      <c r="DT13" s="506">
        <v>5446</v>
      </c>
      <c r="DU13" s="507">
        <v>3830</v>
      </c>
      <c r="DV13" s="507">
        <v>2842</v>
      </c>
      <c r="DW13" s="507">
        <v>1095</v>
      </c>
      <c r="DX13" s="507">
        <v>1023</v>
      </c>
      <c r="DY13" s="508">
        <f t="shared" si="26"/>
        <v>0.28590078328981722</v>
      </c>
      <c r="DZ13" s="508">
        <f t="shared" si="27"/>
        <v>0.3852920478536242</v>
      </c>
      <c r="EA13" s="508">
        <v>0.31096605744125327</v>
      </c>
      <c r="EB13" s="509">
        <v>0.4190710767065447</v>
      </c>
    </row>
    <row r="14" spans="1:132" s="2" customFormat="1" x14ac:dyDescent="0.25">
      <c r="A14" s="503" t="s">
        <v>553</v>
      </c>
      <c r="B14" s="504" t="s">
        <v>163</v>
      </c>
      <c r="C14" s="505" t="s">
        <v>164</v>
      </c>
      <c r="D14" s="506">
        <v>4399</v>
      </c>
      <c r="E14" s="507">
        <v>4399</v>
      </c>
      <c r="F14" s="507">
        <v>4141</v>
      </c>
      <c r="G14" s="507">
        <v>836</v>
      </c>
      <c r="H14" s="507">
        <v>703</v>
      </c>
      <c r="I14" s="508">
        <f t="shared" si="28"/>
        <v>0.19004319163446237</v>
      </c>
      <c r="J14" s="509">
        <f t="shared" si="29"/>
        <v>0.2018836029944458</v>
      </c>
      <c r="K14" s="506">
        <v>4095</v>
      </c>
      <c r="L14" s="507">
        <v>4095</v>
      </c>
      <c r="M14" s="507">
        <v>3888</v>
      </c>
      <c r="N14" s="507">
        <v>869</v>
      </c>
      <c r="O14" s="507">
        <v>763</v>
      </c>
      <c r="P14" s="508">
        <f t="shared" si="30"/>
        <v>0.21221001221001221</v>
      </c>
      <c r="Q14" s="509">
        <f t="shared" si="31"/>
        <v>0.2235082304526749</v>
      </c>
      <c r="R14" s="506">
        <v>3549</v>
      </c>
      <c r="S14" s="507">
        <v>3549</v>
      </c>
      <c r="T14" s="507">
        <v>3356</v>
      </c>
      <c r="U14" s="507">
        <v>834</v>
      </c>
      <c r="V14" s="507">
        <v>726</v>
      </c>
      <c r="W14" s="508">
        <f t="shared" si="32"/>
        <v>0.23499577345731193</v>
      </c>
      <c r="X14" s="509">
        <f t="shared" si="33"/>
        <v>0.24851013110846246</v>
      </c>
      <c r="Y14" s="506">
        <v>3422</v>
      </c>
      <c r="Z14" s="507">
        <v>3422</v>
      </c>
      <c r="AA14" s="507">
        <v>3422</v>
      </c>
      <c r="AB14" s="507">
        <v>814</v>
      </c>
      <c r="AC14" s="507">
        <v>703</v>
      </c>
      <c r="AD14" s="508">
        <f t="shared" si="0"/>
        <v>0.23787258912916423</v>
      </c>
      <c r="AE14" s="509">
        <f t="shared" si="1"/>
        <v>0.23787258912916423</v>
      </c>
      <c r="AF14" s="506">
        <v>3240</v>
      </c>
      <c r="AG14" s="507">
        <v>3240</v>
      </c>
      <c r="AH14" s="507">
        <v>3240</v>
      </c>
      <c r="AI14" s="507">
        <v>801</v>
      </c>
      <c r="AJ14" s="507">
        <v>702</v>
      </c>
      <c r="AK14" s="508">
        <f t="shared" si="2"/>
        <v>0.24722222222222223</v>
      </c>
      <c r="AL14" s="509">
        <f t="shared" si="3"/>
        <v>0.24722222222222223</v>
      </c>
      <c r="AM14" s="506">
        <v>3068</v>
      </c>
      <c r="AN14" s="507">
        <v>3068</v>
      </c>
      <c r="AO14" s="507">
        <v>3067</v>
      </c>
      <c r="AP14" s="507">
        <v>683</v>
      </c>
      <c r="AQ14" s="507">
        <v>609</v>
      </c>
      <c r="AR14" s="508">
        <f t="shared" si="4"/>
        <v>0.22262059973924381</v>
      </c>
      <c r="AS14" s="509">
        <f t="shared" si="5"/>
        <v>0.22269318552331269</v>
      </c>
      <c r="AT14" s="506">
        <v>3000</v>
      </c>
      <c r="AU14" s="507">
        <v>3000</v>
      </c>
      <c r="AV14" s="507">
        <v>3000</v>
      </c>
      <c r="AW14" s="507">
        <v>636</v>
      </c>
      <c r="AX14" s="507">
        <v>590</v>
      </c>
      <c r="AY14" s="508">
        <f t="shared" si="6"/>
        <v>0.21199999999999999</v>
      </c>
      <c r="AZ14" s="509">
        <f t="shared" si="7"/>
        <v>0.21199999999999999</v>
      </c>
      <c r="BA14" s="506">
        <v>2823</v>
      </c>
      <c r="BB14" s="507">
        <v>2823</v>
      </c>
      <c r="BC14" s="507">
        <v>2823</v>
      </c>
      <c r="BD14" s="507">
        <v>636</v>
      </c>
      <c r="BE14" s="507">
        <v>570</v>
      </c>
      <c r="BF14" s="508">
        <f t="shared" si="8"/>
        <v>0.22529224229543041</v>
      </c>
      <c r="BG14" s="509">
        <f t="shared" si="9"/>
        <v>0.22529224229543041</v>
      </c>
      <c r="BH14" s="506">
        <v>2690</v>
      </c>
      <c r="BI14" s="507">
        <v>2690</v>
      </c>
      <c r="BJ14" s="507">
        <v>2576</v>
      </c>
      <c r="BK14" s="507">
        <v>667</v>
      </c>
      <c r="BL14" s="507">
        <v>620</v>
      </c>
      <c r="BM14" s="508">
        <f t="shared" si="10"/>
        <v>0.24795539033457248</v>
      </c>
      <c r="BN14" s="509">
        <f t="shared" si="11"/>
        <v>0.25892857142857145</v>
      </c>
      <c r="BO14" s="506">
        <v>2346</v>
      </c>
      <c r="BP14" s="507">
        <v>2346</v>
      </c>
      <c r="BQ14" s="507">
        <v>2267</v>
      </c>
      <c r="BR14" s="507">
        <v>675</v>
      </c>
      <c r="BS14" s="507">
        <v>608</v>
      </c>
      <c r="BT14" s="508">
        <f t="shared" si="12"/>
        <v>0.28772378516624042</v>
      </c>
      <c r="BU14" s="509">
        <f t="shared" si="13"/>
        <v>0.29775033083370095</v>
      </c>
      <c r="BV14" s="506">
        <v>2432</v>
      </c>
      <c r="BW14" s="507">
        <v>2432</v>
      </c>
      <c r="BX14" s="507">
        <v>2432</v>
      </c>
      <c r="BY14" s="507">
        <v>656</v>
      </c>
      <c r="BZ14" s="507">
        <v>595</v>
      </c>
      <c r="CA14" s="508">
        <f t="shared" si="14"/>
        <v>0.26973684210526316</v>
      </c>
      <c r="CB14" s="509">
        <f t="shared" si="15"/>
        <v>0.26973684210526316</v>
      </c>
      <c r="CC14" s="506">
        <v>2180</v>
      </c>
      <c r="CD14" s="507">
        <v>2127</v>
      </c>
      <c r="CE14" s="507">
        <v>2127</v>
      </c>
      <c r="CF14" s="507">
        <v>650</v>
      </c>
      <c r="CG14" s="507">
        <v>579</v>
      </c>
      <c r="CH14" s="508">
        <f t="shared" si="16"/>
        <v>0.305594734367654</v>
      </c>
      <c r="CI14" s="509">
        <f t="shared" si="17"/>
        <v>0.305594734367654</v>
      </c>
      <c r="CJ14" s="506">
        <v>2207</v>
      </c>
      <c r="CK14" s="507">
        <v>2207</v>
      </c>
      <c r="CL14" s="507">
        <v>2083</v>
      </c>
      <c r="CM14" s="507">
        <v>634</v>
      </c>
      <c r="CN14" s="507">
        <v>583</v>
      </c>
      <c r="CO14" s="508">
        <f t="shared" si="18"/>
        <v>0.28726778432260985</v>
      </c>
      <c r="CP14" s="508">
        <f t="shared" si="19"/>
        <v>0.30436869899183872</v>
      </c>
      <c r="CQ14" s="508">
        <v>0.28726778432260985</v>
      </c>
      <c r="CR14" s="509">
        <v>0.30436869899183872</v>
      </c>
      <c r="CS14" s="506">
        <v>2285</v>
      </c>
      <c r="CT14" s="507">
        <v>2285</v>
      </c>
      <c r="CU14" s="507">
        <v>2110</v>
      </c>
      <c r="CV14" s="507">
        <v>633</v>
      </c>
      <c r="CW14" s="507">
        <v>580</v>
      </c>
      <c r="CX14" s="508">
        <f t="shared" si="20"/>
        <v>0.27702407002188184</v>
      </c>
      <c r="CY14" s="508">
        <f t="shared" si="21"/>
        <v>0.3</v>
      </c>
      <c r="CZ14" s="508">
        <v>0.27702407002188184</v>
      </c>
      <c r="DA14" s="509">
        <v>0.3</v>
      </c>
      <c r="DB14" s="506">
        <v>2388</v>
      </c>
      <c r="DC14" s="507">
        <v>2388</v>
      </c>
      <c r="DD14" s="507">
        <v>2202</v>
      </c>
      <c r="DE14" s="507">
        <v>657</v>
      </c>
      <c r="DF14" s="507">
        <v>606</v>
      </c>
      <c r="DG14" s="508">
        <f t="shared" si="22"/>
        <v>0.27512562814070352</v>
      </c>
      <c r="DH14" s="508">
        <f t="shared" si="23"/>
        <v>0.29836512261580383</v>
      </c>
      <c r="DI14" s="508">
        <v>0.27512562814070352</v>
      </c>
      <c r="DJ14" s="509">
        <v>0.29836512261580383</v>
      </c>
      <c r="DK14" s="506">
        <v>2571</v>
      </c>
      <c r="DL14" s="507">
        <v>2571</v>
      </c>
      <c r="DM14" s="507">
        <v>2374</v>
      </c>
      <c r="DN14" s="507">
        <v>755</v>
      </c>
      <c r="DO14" s="507">
        <v>678</v>
      </c>
      <c r="DP14" s="508">
        <f t="shared" si="24"/>
        <v>0.29366005445352006</v>
      </c>
      <c r="DQ14" s="508">
        <f t="shared" si="25"/>
        <v>0.31802864363942712</v>
      </c>
      <c r="DR14" s="508">
        <v>0.29366005445352006</v>
      </c>
      <c r="DS14" s="509">
        <v>0.31802864363942712</v>
      </c>
      <c r="DT14" s="506">
        <v>2546</v>
      </c>
      <c r="DU14" s="507">
        <v>2546</v>
      </c>
      <c r="DV14" s="507">
        <v>2402</v>
      </c>
      <c r="DW14" s="507">
        <v>756</v>
      </c>
      <c r="DX14" s="507">
        <v>714</v>
      </c>
      <c r="DY14" s="508">
        <f t="shared" si="26"/>
        <v>0.29693637077769047</v>
      </c>
      <c r="DZ14" s="508">
        <f t="shared" si="27"/>
        <v>0.31473771856786009</v>
      </c>
      <c r="EA14" s="508">
        <v>0.29693637077769047</v>
      </c>
      <c r="EB14" s="509">
        <v>0.31473771856786009</v>
      </c>
    </row>
    <row r="15" spans="1:132" s="2" customFormat="1" x14ac:dyDescent="0.25">
      <c r="A15" s="503" t="s">
        <v>553</v>
      </c>
      <c r="B15" s="504" t="s">
        <v>165</v>
      </c>
      <c r="C15" s="505" t="s">
        <v>166</v>
      </c>
      <c r="D15" s="506">
        <v>6999</v>
      </c>
      <c r="E15" s="507">
        <v>5016</v>
      </c>
      <c r="F15" s="507">
        <v>4657</v>
      </c>
      <c r="G15" s="507">
        <v>1103</v>
      </c>
      <c r="H15" s="507">
        <v>757</v>
      </c>
      <c r="I15" s="508">
        <f t="shared" si="28"/>
        <v>0.21989633173843701</v>
      </c>
      <c r="J15" s="509">
        <f t="shared" si="29"/>
        <v>0.23684775606613701</v>
      </c>
      <c r="K15" s="506">
        <v>6193</v>
      </c>
      <c r="L15" s="507">
        <v>4621</v>
      </c>
      <c r="M15" s="507">
        <v>4255</v>
      </c>
      <c r="N15" s="507">
        <v>1107</v>
      </c>
      <c r="O15" s="507">
        <v>758</v>
      </c>
      <c r="P15" s="508">
        <f t="shared" si="30"/>
        <v>0.23955853711317895</v>
      </c>
      <c r="Q15" s="509">
        <f t="shared" si="31"/>
        <v>0.26016451233842536</v>
      </c>
      <c r="R15" s="506">
        <v>4695</v>
      </c>
      <c r="S15" s="507">
        <v>3649</v>
      </c>
      <c r="T15" s="507">
        <v>3007</v>
      </c>
      <c r="U15" s="507">
        <v>1037</v>
      </c>
      <c r="V15" s="507">
        <v>754</v>
      </c>
      <c r="W15" s="508">
        <f t="shared" si="32"/>
        <v>0.28418744861605921</v>
      </c>
      <c r="X15" s="509">
        <f t="shared" si="33"/>
        <v>0.34486198869304957</v>
      </c>
      <c r="Y15" s="506">
        <v>4699</v>
      </c>
      <c r="Z15" s="507">
        <v>3584</v>
      </c>
      <c r="AA15" s="507">
        <v>2946</v>
      </c>
      <c r="AB15" s="507">
        <v>1010</v>
      </c>
      <c r="AC15" s="507">
        <v>739</v>
      </c>
      <c r="AD15" s="508">
        <f t="shared" si="0"/>
        <v>0.2818080357142857</v>
      </c>
      <c r="AE15" s="509">
        <f t="shared" si="1"/>
        <v>0.34283774609640189</v>
      </c>
      <c r="AF15" s="506">
        <v>4813</v>
      </c>
      <c r="AG15" s="507">
        <v>3729</v>
      </c>
      <c r="AH15" s="507">
        <v>3237</v>
      </c>
      <c r="AI15" s="507">
        <v>908</v>
      </c>
      <c r="AJ15" s="507">
        <v>662</v>
      </c>
      <c r="AK15" s="508">
        <f t="shared" si="2"/>
        <v>0.24349691606328774</v>
      </c>
      <c r="AL15" s="509">
        <f t="shared" si="3"/>
        <v>0.28050664195242508</v>
      </c>
      <c r="AM15" s="506">
        <v>3868</v>
      </c>
      <c r="AN15" s="507">
        <v>3033</v>
      </c>
      <c r="AO15" s="507">
        <v>2643</v>
      </c>
      <c r="AP15" s="507">
        <v>890</v>
      </c>
      <c r="AQ15" s="507">
        <v>658</v>
      </c>
      <c r="AR15" s="508">
        <f t="shared" si="4"/>
        <v>0.29343883943290472</v>
      </c>
      <c r="AS15" s="509">
        <f t="shared" si="5"/>
        <v>0.3367385546727204</v>
      </c>
      <c r="AT15" s="506">
        <v>3890</v>
      </c>
      <c r="AU15" s="507">
        <v>3017</v>
      </c>
      <c r="AV15" s="507">
        <v>2711</v>
      </c>
      <c r="AW15" s="507">
        <v>1021</v>
      </c>
      <c r="AX15" s="507">
        <v>765</v>
      </c>
      <c r="AY15" s="508">
        <f t="shared" si="6"/>
        <v>0.33841564468014584</v>
      </c>
      <c r="AZ15" s="509">
        <f t="shared" si="7"/>
        <v>0.37661379564736258</v>
      </c>
      <c r="BA15" s="506">
        <v>3843</v>
      </c>
      <c r="BB15" s="507">
        <v>2928</v>
      </c>
      <c r="BC15" s="507">
        <v>2619</v>
      </c>
      <c r="BD15" s="507">
        <v>1146</v>
      </c>
      <c r="BE15" s="507">
        <v>835</v>
      </c>
      <c r="BF15" s="508">
        <f t="shared" si="8"/>
        <v>0.39139344262295084</v>
      </c>
      <c r="BG15" s="509">
        <f t="shared" si="9"/>
        <v>0.43757159221076747</v>
      </c>
      <c r="BH15" s="506">
        <v>3574</v>
      </c>
      <c r="BI15" s="507">
        <v>2704</v>
      </c>
      <c r="BJ15" s="507">
        <v>2445</v>
      </c>
      <c r="BK15" s="507">
        <v>910</v>
      </c>
      <c r="BL15" s="507">
        <v>794</v>
      </c>
      <c r="BM15" s="508">
        <f t="shared" si="10"/>
        <v>0.33653846153846156</v>
      </c>
      <c r="BN15" s="509">
        <f t="shared" si="11"/>
        <v>0.3721881390593047</v>
      </c>
      <c r="BO15" s="506">
        <v>3762</v>
      </c>
      <c r="BP15" s="507">
        <v>2763</v>
      </c>
      <c r="BQ15" s="507">
        <v>2440</v>
      </c>
      <c r="BR15" s="507">
        <v>922</v>
      </c>
      <c r="BS15" s="507">
        <v>830</v>
      </c>
      <c r="BT15" s="508">
        <f t="shared" si="12"/>
        <v>0.33369525877669198</v>
      </c>
      <c r="BU15" s="509">
        <f t="shared" si="13"/>
        <v>0.37786885245901641</v>
      </c>
      <c r="BV15" s="506">
        <v>3334</v>
      </c>
      <c r="BW15" s="507">
        <v>2531</v>
      </c>
      <c r="BX15" s="507">
        <v>2223</v>
      </c>
      <c r="BY15" s="507">
        <v>927</v>
      </c>
      <c r="BZ15" s="507">
        <v>781</v>
      </c>
      <c r="CA15" s="508">
        <f t="shared" si="14"/>
        <v>0.36625839589095222</v>
      </c>
      <c r="CB15" s="509">
        <f t="shared" si="15"/>
        <v>0.41700404858299595</v>
      </c>
      <c r="CC15" s="506">
        <v>3121</v>
      </c>
      <c r="CD15" s="507">
        <v>2468</v>
      </c>
      <c r="CE15" s="507">
        <v>2074</v>
      </c>
      <c r="CF15" s="507">
        <v>850</v>
      </c>
      <c r="CG15" s="507">
        <v>812</v>
      </c>
      <c r="CH15" s="508">
        <f t="shared" si="16"/>
        <v>0.34440842787682335</v>
      </c>
      <c r="CI15" s="509">
        <f t="shared" si="17"/>
        <v>0.4098360655737705</v>
      </c>
      <c r="CJ15" s="506">
        <v>3413</v>
      </c>
      <c r="CK15" s="507">
        <v>2607</v>
      </c>
      <c r="CL15" s="507">
        <v>2301</v>
      </c>
      <c r="CM15" s="507">
        <v>872</v>
      </c>
      <c r="CN15" s="507">
        <v>776</v>
      </c>
      <c r="CO15" s="508">
        <f t="shared" si="18"/>
        <v>0.33448408131952434</v>
      </c>
      <c r="CP15" s="508">
        <f t="shared" si="19"/>
        <v>0.37896566710126034</v>
      </c>
      <c r="CQ15" s="508">
        <v>0.41311852704257768</v>
      </c>
      <c r="CR15" s="509">
        <v>0.4680573663624511</v>
      </c>
      <c r="CS15" s="506">
        <v>3662</v>
      </c>
      <c r="CT15" s="507">
        <v>2858</v>
      </c>
      <c r="CU15" s="507">
        <v>2427</v>
      </c>
      <c r="CV15" s="507">
        <v>946</v>
      </c>
      <c r="CW15" s="507">
        <v>800</v>
      </c>
      <c r="CX15" s="508">
        <f t="shared" si="20"/>
        <v>0.33100069979006297</v>
      </c>
      <c r="CY15" s="508">
        <f t="shared" si="21"/>
        <v>0.38978162340337863</v>
      </c>
      <c r="CZ15" s="508">
        <v>0.3999300209937019</v>
      </c>
      <c r="DA15" s="509">
        <v>0.47095179233621753</v>
      </c>
      <c r="DB15" s="506">
        <v>3895</v>
      </c>
      <c r="DC15" s="507">
        <v>2979</v>
      </c>
      <c r="DD15" s="507">
        <v>2633</v>
      </c>
      <c r="DE15" s="507">
        <v>1162</v>
      </c>
      <c r="DF15" s="507">
        <v>941</v>
      </c>
      <c r="DG15" s="508">
        <f t="shared" si="22"/>
        <v>0.39006377979187645</v>
      </c>
      <c r="DH15" s="508">
        <f t="shared" si="23"/>
        <v>0.44132168628940371</v>
      </c>
      <c r="DI15" s="508">
        <v>0.46022155085599192</v>
      </c>
      <c r="DJ15" s="509">
        <v>0.52069882263577671</v>
      </c>
      <c r="DK15" s="506">
        <v>3904</v>
      </c>
      <c r="DL15" s="507">
        <v>2944</v>
      </c>
      <c r="DM15" s="507">
        <v>2642</v>
      </c>
      <c r="DN15" s="507">
        <v>1207</v>
      </c>
      <c r="DO15" s="507">
        <v>981</v>
      </c>
      <c r="DP15" s="508">
        <f t="shared" si="24"/>
        <v>0.40998641304347827</v>
      </c>
      <c r="DQ15" s="508">
        <f t="shared" si="25"/>
        <v>0.45685087055261164</v>
      </c>
      <c r="DR15" s="508">
        <v>0.48029891304347827</v>
      </c>
      <c r="DS15" s="509">
        <v>0.53520060560181681</v>
      </c>
      <c r="DT15" s="506">
        <v>4302</v>
      </c>
      <c r="DU15" s="507">
        <v>3164</v>
      </c>
      <c r="DV15" s="507">
        <v>2850</v>
      </c>
      <c r="DW15" s="507">
        <v>1244</v>
      </c>
      <c r="DX15" s="507">
        <v>1008</v>
      </c>
      <c r="DY15" s="508">
        <f t="shared" si="26"/>
        <v>0.39317319848293297</v>
      </c>
      <c r="DZ15" s="508">
        <f t="shared" si="27"/>
        <v>0.43649122807017543</v>
      </c>
      <c r="EA15" s="508">
        <v>0.42762326169405818</v>
      </c>
      <c r="EB15" s="509">
        <v>0.47473684210526318</v>
      </c>
    </row>
    <row r="16" spans="1:132" s="2" customFormat="1" x14ac:dyDescent="0.25">
      <c r="A16" s="503" t="s">
        <v>553</v>
      </c>
      <c r="B16" s="504" t="s">
        <v>167</v>
      </c>
      <c r="C16" s="510" t="s">
        <v>168</v>
      </c>
      <c r="D16" s="506">
        <v>2601</v>
      </c>
      <c r="E16" s="507">
        <v>2601</v>
      </c>
      <c r="F16" s="507">
        <v>2405</v>
      </c>
      <c r="G16" s="507">
        <v>1170</v>
      </c>
      <c r="H16" s="507">
        <v>749</v>
      </c>
      <c r="I16" s="508">
        <f t="shared" si="28"/>
        <v>0.44982698961937717</v>
      </c>
      <c r="J16" s="509">
        <f t="shared" si="29"/>
        <v>0.48648648648648651</v>
      </c>
      <c r="K16" s="506">
        <v>2591</v>
      </c>
      <c r="L16" s="507">
        <v>2591</v>
      </c>
      <c r="M16" s="507">
        <v>2388</v>
      </c>
      <c r="N16" s="507">
        <v>1054</v>
      </c>
      <c r="O16" s="507">
        <v>666</v>
      </c>
      <c r="P16" s="508">
        <f t="shared" si="30"/>
        <v>0.4067927441142416</v>
      </c>
      <c r="Q16" s="509">
        <f t="shared" si="31"/>
        <v>0.44137353433835846</v>
      </c>
      <c r="R16" s="506">
        <v>2439</v>
      </c>
      <c r="S16" s="507">
        <v>2439</v>
      </c>
      <c r="T16" s="507">
        <v>2229</v>
      </c>
      <c r="U16" s="507">
        <v>686</v>
      </c>
      <c r="V16" s="507">
        <v>686</v>
      </c>
      <c r="W16" s="508">
        <f t="shared" si="32"/>
        <v>0.2812628126281263</v>
      </c>
      <c r="X16" s="509">
        <f t="shared" si="33"/>
        <v>0.30776132794975325</v>
      </c>
      <c r="Y16" s="506">
        <v>2276</v>
      </c>
      <c r="Z16" s="507">
        <v>2273</v>
      </c>
      <c r="AA16" s="507">
        <v>2044</v>
      </c>
      <c r="AB16" s="507">
        <v>703</v>
      </c>
      <c r="AC16" s="507">
        <v>703</v>
      </c>
      <c r="AD16" s="508">
        <f t="shared" si="0"/>
        <v>0.30928288605367354</v>
      </c>
      <c r="AE16" s="509">
        <f t="shared" si="1"/>
        <v>0.34393346379647749</v>
      </c>
      <c r="AF16" s="506">
        <v>2094</v>
      </c>
      <c r="AG16" s="507">
        <v>2090</v>
      </c>
      <c r="AH16" s="507">
        <v>1907</v>
      </c>
      <c r="AI16" s="507">
        <v>671</v>
      </c>
      <c r="AJ16" s="507">
        <v>671</v>
      </c>
      <c r="AK16" s="508">
        <f t="shared" si="2"/>
        <v>0.32105263157894737</v>
      </c>
      <c r="AL16" s="509">
        <f t="shared" si="3"/>
        <v>0.35186156266386998</v>
      </c>
      <c r="AM16" s="506">
        <v>1899</v>
      </c>
      <c r="AN16" s="507">
        <v>1895</v>
      </c>
      <c r="AO16" s="507">
        <v>1743</v>
      </c>
      <c r="AP16" s="507">
        <v>695</v>
      </c>
      <c r="AQ16" s="507">
        <v>651</v>
      </c>
      <c r="AR16" s="508">
        <f t="shared" si="4"/>
        <v>0.36675461741424803</v>
      </c>
      <c r="AS16" s="509">
        <f t="shared" si="5"/>
        <v>0.39873780837636258</v>
      </c>
      <c r="AT16" s="506">
        <v>1745</v>
      </c>
      <c r="AU16" s="507">
        <v>1743</v>
      </c>
      <c r="AV16" s="507">
        <v>1539</v>
      </c>
      <c r="AW16" s="507">
        <v>720</v>
      </c>
      <c r="AX16" s="507">
        <v>717</v>
      </c>
      <c r="AY16" s="508">
        <f t="shared" si="6"/>
        <v>0.41308089500860584</v>
      </c>
      <c r="AZ16" s="509">
        <f t="shared" si="7"/>
        <v>0.46783625730994149</v>
      </c>
      <c r="BA16" s="506">
        <v>1526</v>
      </c>
      <c r="BB16" s="507">
        <v>1522</v>
      </c>
      <c r="BC16" s="507">
        <v>1353</v>
      </c>
      <c r="BD16" s="507">
        <v>681</v>
      </c>
      <c r="BE16" s="507">
        <v>678</v>
      </c>
      <c r="BF16" s="508">
        <f t="shared" si="8"/>
        <v>0.44743758212877793</v>
      </c>
      <c r="BG16" s="509">
        <f t="shared" si="9"/>
        <v>0.50332594235033257</v>
      </c>
      <c r="BH16" s="506">
        <v>1541</v>
      </c>
      <c r="BI16" s="507">
        <v>1536</v>
      </c>
      <c r="BJ16" s="507">
        <v>1272</v>
      </c>
      <c r="BK16" s="507">
        <v>806</v>
      </c>
      <c r="BL16" s="507">
        <v>804</v>
      </c>
      <c r="BM16" s="508">
        <f t="shared" si="10"/>
        <v>0.52473958333333337</v>
      </c>
      <c r="BN16" s="509">
        <f t="shared" si="11"/>
        <v>0.63364779874213839</v>
      </c>
      <c r="BO16" s="506">
        <v>1428</v>
      </c>
      <c r="BP16" s="507">
        <v>1421</v>
      </c>
      <c r="BQ16" s="507">
        <v>1216</v>
      </c>
      <c r="BR16" s="507">
        <v>769</v>
      </c>
      <c r="BS16" s="507">
        <v>769</v>
      </c>
      <c r="BT16" s="508">
        <f t="shared" si="12"/>
        <v>0.54116819141449679</v>
      </c>
      <c r="BU16" s="509">
        <f t="shared" si="13"/>
        <v>0.63240131578947367</v>
      </c>
      <c r="BV16" s="506">
        <v>1530</v>
      </c>
      <c r="BW16" s="507">
        <v>1521</v>
      </c>
      <c r="BX16" s="507">
        <v>1344</v>
      </c>
      <c r="BY16" s="507">
        <v>773</v>
      </c>
      <c r="BZ16" s="507">
        <v>772</v>
      </c>
      <c r="CA16" s="508">
        <f t="shared" si="14"/>
        <v>0.50821827744904668</v>
      </c>
      <c r="CB16" s="509">
        <f t="shared" si="15"/>
        <v>0.57514880952380953</v>
      </c>
      <c r="CC16" s="506">
        <v>1654</v>
      </c>
      <c r="CD16" s="507">
        <v>1650</v>
      </c>
      <c r="CE16" s="507">
        <v>1646</v>
      </c>
      <c r="CF16" s="507">
        <v>762</v>
      </c>
      <c r="CG16" s="507">
        <v>760</v>
      </c>
      <c r="CH16" s="508">
        <f t="shared" si="16"/>
        <v>0.46181818181818179</v>
      </c>
      <c r="CI16" s="509">
        <f t="shared" si="17"/>
        <v>0.46294046172539488</v>
      </c>
      <c r="CJ16" s="506">
        <v>1588</v>
      </c>
      <c r="CK16" s="507">
        <v>1579</v>
      </c>
      <c r="CL16" s="507">
        <v>1040</v>
      </c>
      <c r="CM16" s="507">
        <v>894</v>
      </c>
      <c r="CN16" s="507">
        <v>846</v>
      </c>
      <c r="CO16" s="508">
        <f t="shared" si="18"/>
        <v>0.56618112729575676</v>
      </c>
      <c r="CP16" s="508">
        <f t="shared" si="19"/>
        <v>0.85961538461538467</v>
      </c>
      <c r="CQ16" s="508">
        <v>0.56618112729575676</v>
      </c>
      <c r="CR16" s="509">
        <v>0.85961538461538467</v>
      </c>
      <c r="CS16" s="506">
        <v>1679</v>
      </c>
      <c r="CT16" s="507">
        <v>1671</v>
      </c>
      <c r="CU16" s="507">
        <v>1382</v>
      </c>
      <c r="CV16" s="507">
        <v>727</v>
      </c>
      <c r="CW16" s="507">
        <v>706</v>
      </c>
      <c r="CX16" s="508">
        <f t="shared" si="20"/>
        <v>0.43506882106523043</v>
      </c>
      <c r="CY16" s="508">
        <f t="shared" si="21"/>
        <v>0.52604920405209843</v>
      </c>
      <c r="CZ16" s="508">
        <v>0.55236385397965293</v>
      </c>
      <c r="DA16" s="509">
        <v>0.66787264833574533</v>
      </c>
      <c r="DB16" s="506">
        <v>1723</v>
      </c>
      <c r="DC16" s="507">
        <v>1710</v>
      </c>
      <c r="DD16" s="507">
        <v>1374</v>
      </c>
      <c r="DE16" s="507">
        <v>701</v>
      </c>
      <c r="DF16" s="507">
        <v>681</v>
      </c>
      <c r="DG16" s="508">
        <f t="shared" si="22"/>
        <v>0.40994152046783627</v>
      </c>
      <c r="DH16" s="508">
        <f t="shared" si="23"/>
        <v>0.51018922852983983</v>
      </c>
      <c r="DI16" s="508">
        <v>0.5859649122807018</v>
      </c>
      <c r="DJ16" s="509">
        <v>0.72925764192139741</v>
      </c>
      <c r="DK16" s="506">
        <v>1767</v>
      </c>
      <c r="DL16" s="507">
        <v>1753</v>
      </c>
      <c r="DM16" s="507">
        <v>1437</v>
      </c>
      <c r="DN16" s="507">
        <v>730</v>
      </c>
      <c r="DO16" s="507">
        <v>692</v>
      </c>
      <c r="DP16" s="508">
        <f t="shared" si="24"/>
        <v>0.41642897889332575</v>
      </c>
      <c r="DQ16" s="508">
        <f t="shared" si="25"/>
        <v>0.50800278357689632</v>
      </c>
      <c r="DR16" s="508">
        <v>0.58585282373074732</v>
      </c>
      <c r="DS16" s="509">
        <v>0.71468336812804456</v>
      </c>
      <c r="DT16" s="506">
        <v>1904</v>
      </c>
      <c r="DU16" s="507">
        <v>1899</v>
      </c>
      <c r="DV16" s="507">
        <v>1606</v>
      </c>
      <c r="DW16" s="507">
        <v>757</v>
      </c>
      <c r="DX16" s="507">
        <v>716</v>
      </c>
      <c r="DY16" s="508">
        <f t="shared" si="26"/>
        <v>0.39863085834649814</v>
      </c>
      <c r="DZ16" s="508">
        <f t="shared" si="27"/>
        <v>0.47135740971357409</v>
      </c>
      <c r="EA16" s="508">
        <v>0.5028962611901</v>
      </c>
      <c r="EB16" s="509">
        <v>0.59464508094645085</v>
      </c>
    </row>
    <row r="17" spans="1:132" s="2" customFormat="1" x14ac:dyDescent="0.25">
      <c r="A17" s="503" t="s">
        <v>553</v>
      </c>
      <c r="B17" s="504" t="s">
        <v>169</v>
      </c>
      <c r="C17" s="505" t="s">
        <v>170</v>
      </c>
      <c r="D17" s="506">
        <v>262</v>
      </c>
      <c r="E17" s="507">
        <v>260</v>
      </c>
      <c r="F17" s="507">
        <v>234</v>
      </c>
      <c r="G17" s="507">
        <v>203</v>
      </c>
      <c r="H17" s="507">
        <v>171</v>
      </c>
      <c r="I17" s="508">
        <f t="shared" si="28"/>
        <v>0.78076923076923077</v>
      </c>
      <c r="J17" s="509">
        <f t="shared" si="29"/>
        <v>0.86752136752136755</v>
      </c>
      <c r="K17" s="506">
        <v>327</v>
      </c>
      <c r="L17" s="507">
        <v>305</v>
      </c>
      <c r="M17" s="507">
        <v>253</v>
      </c>
      <c r="N17" s="507">
        <v>206</v>
      </c>
      <c r="O17" s="507">
        <v>183</v>
      </c>
      <c r="P17" s="508">
        <f t="shared" si="30"/>
        <v>0.67540983606557381</v>
      </c>
      <c r="Q17" s="509">
        <f t="shared" si="31"/>
        <v>0.81422924901185767</v>
      </c>
      <c r="R17" s="506">
        <v>295</v>
      </c>
      <c r="S17" s="507">
        <v>276</v>
      </c>
      <c r="T17" s="507">
        <v>234</v>
      </c>
      <c r="U17" s="507">
        <v>185</v>
      </c>
      <c r="V17" s="507">
        <v>166</v>
      </c>
      <c r="W17" s="508">
        <f t="shared" si="32"/>
        <v>0.67028985507246375</v>
      </c>
      <c r="X17" s="509">
        <f t="shared" si="33"/>
        <v>0.79059829059829057</v>
      </c>
      <c r="Y17" s="506">
        <v>262</v>
      </c>
      <c r="Z17" s="507">
        <v>247</v>
      </c>
      <c r="AA17" s="507">
        <v>201</v>
      </c>
      <c r="AB17" s="507">
        <v>168</v>
      </c>
      <c r="AC17" s="507">
        <v>149</v>
      </c>
      <c r="AD17" s="508">
        <f t="shared" si="0"/>
        <v>0.68016194331983804</v>
      </c>
      <c r="AE17" s="509">
        <f t="shared" si="1"/>
        <v>0.83582089552238803</v>
      </c>
      <c r="AF17" s="506">
        <v>271</v>
      </c>
      <c r="AG17" s="507">
        <v>252</v>
      </c>
      <c r="AH17" s="507">
        <v>210</v>
      </c>
      <c r="AI17" s="507">
        <v>154</v>
      </c>
      <c r="AJ17" s="507">
        <v>141</v>
      </c>
      <c r="AK17" s="508">
        <f t="shared" si="2"/>
        <v>0.61111111111111116</v>
      </c>
      <c r="AL17" s="509">
        <f t="shared" si="3"/>
        <v>0.73333333333333328</v>
      </c>
      <c r="AM17" s="506">
        <v>246</v>
      </c>
      <c r="AN17" s="507">
        <v>231</v>
      </c>
      <c r="AO17" s="507">
        <v>167</v>
      </c>
      <c r="AP17" s="507">
        <v>141</v>
      </c>
      <c r="AQ17" s="507">
        <v>126</v>
      </c>
      <c r="AR17" s="508">
        <f t="shared" si="4"/>
        <v>0.61038961038961037</v>
      </c>
      <c r="AS17" s="509">
        <f t="shared" si="5"/>
        <v>0.84431137724550898</v>
      </c>
      <c r="AT17" s="506">
        <v>254</v>
      </c>
      <c r="AU17" s="507">
        <v>241</v>
      </c>
      <c r="AV17" s="507">
        <v>196</v>
      </c>
      <c r="AW17" s="507">
        <v>144</v>
      </c>
      <c r="AX17" s="507">
        <v>124</v>
      </c>
      <c r="AY17" s="508">
        <f t="shared" si="6"/>
        <v>0.59751037344398339</v>
      </c>
      <c r="AZ17" s="509">
        <f t="shared" si="7"/>
        <v>0.73469387755102045</v>
      </c>
      <c r="BA17" s="506">
        <v>140</v>
      </c>
      <c r="BB17" s="507">
        <v>130</v>
      </c>
      <c r="BC17" s="507">
        <v>102</v>
      </c>
      <c r="BD17" s="507">
        <v>102</v>
      </c>
      <c r="BE17" s="507">
        <v>90</v>
      </c>
      <c r="BF17" s="508">
        <f t="shared" si="8"/>
        <v>0.7846153846153846</v>
      </c>
      <c r="BG17" s="509">
        <f t="shared" si="9"/>
        <v>1</v>
      </c>
      <c r="BH17" s="506">
        <v>162</v>
      </c>
      <c r="BI17" s="507">
        <v>153</v>
      </c>
      <c r="BJ17" s="507">
        <v>107</v>
      </c>
      <c r="BK17" s="507">
        <v>84</v>
      </c>
      <c r="BL17" s="507">
        <v>78</v>
      </c>
      <c r="BM17" s="508">
        <f t="shared" si="10"/>
        <v>0.5490196078431373</v>
      </c>
      <c r="BN17" s="509">
        <f t="shared" si="11"/>
        <v>0.78504672897196259</v>
      </c>
      <c r="BO17" s="506">
        <v>158</v>
      </c>
      <c r="BP17" s="507">
        <v>150</v>
      </c>
      <c r="BQ17" s="507">
        <v>115</v>
      </c>
      <c r="BR17" s="507">
        <v>91</v>
      </c>
      <c r="BS17" s="507">
        <v>89</v>
      </c>
      <c r="BT17" s="508">
        <f t="shared" si="12"/>
        <v>0.60666666666666669</v>
      </c>
      <c r="BU17" s="509">
        <f t="shared" si="13"/>
        <v>0.79130434782608694</v>
      </c>
      <c r="BV17" s="506">
        <v>166</v>
      </c>
      <c r="BW17" s="507">
        <v>152</v>
      </c>
      <c r="BX17" s="507">
        <v>107</v>
      </c>
      <c r="BY17" s="507">
        <v>85</v>
      </c>
      <c r="BZ17" s="507">
        <v>84</v>
      </c>
      <c r="CA17" s="508">
        <f t="shared" si="14"/>
        <v>0.55921052631578949</v>
      </c>
      <c r="CB17" s="509">
        <f t="shared" si="15"/>
        <v>0.79439252336448596</v>
      </c>
      <c r="CC17" s="506">
        <v>173</v>
      </c>
      <c r="CD17" s="507">
        <v>168</v>
      </c>
      <c r="CE17" s="507">
        <v>160</v>
      </c>
      <c r="CF17" s="507">
        <v>113</v>
      </c>
      <c r="CG17" s="507">
        <v>112</v>
      </c>
      <c r="CH17" s="508">
        <f t="shared" si="16"/>
        <v>0.67261904761904767</v>
      </c>
      <c r="CI17" s="509">
        <f t="shared" si="17"/>
        <v>0.70625000000000004</v>
      </c>
      <c r="CJ17" s="506">
        <v>153</v>
      </c>
      <c r="CK17" s="507">
        <v>144</v>
      </c>
      <c r="CL17" s="507">
        <v>97</v>
      </c>
      <c r="CM17" s="507">
        <v>85</v>
      </c>
      <c r="CN17" s="507">
        <v>85</v>
      </c>
      <c r="CO17" s="508">
        <f t="shared" si="18"/>
        <v>0.59027777777777779</v>
      </c>
      <c r="CP17" s="508">
        <f t="shared" si="19"/>
        <v>0.87628865979381443</v>
      </c>
      <c r="CQ17" s="508">
        <v>0.63888888888888884</v>
      </c>
      <c r="CR17" s="509">
        <v>0.94845360824742264</v>
      </c>
      <c r="CS17" s="506">
        <v>127</v>
      </c>
      <c r="CT17" s="507">
        <v>124</v>
      </c>
      <c r="CU17" s="507">
        <v>98</v>
      </c>
      <c r="CV17" s="507">
        <v>74</v>
      </c>
      <c r="CW17" s="507">
        <v>74</v>
      </c>
      <c r="CX17" s="508">
        <f t="shared" si="20"/>
        <v>0.59677419354838712</v>
      </c>
      <c r="CY17" s="508">
        <f t="shared" si="21"/>
        <v>0.75510204081632648</v>
      </c>
      <c r="CZ17" s="508">
        <v>0.72580645161290325</v>
      </c>
      <c r="DA17" s="509">
        <v>0.91836734693877553</v>
      </c>
      <c r="DB17" s="506">
        <v>490</v>
      </c>
      <c r="DC17" s="507">
        <v>473</v>
      </c>
      <c r="DD17" s="507">
        <v>449</v>
      </c>
      <c r="DE17" s="507">
        <v>366</v>
      </c>
      <c r="DF17" s="507">
        <v>362</v>
      </c>
      <c r="DG17" s="508">
        <f t="shared" si="22"/>
        <v>0.77378435517970401</v>
      </c>
      <c r="DH17" s="508">
        <f t="shared" si="23"/>
        <v>0.81514476614699327</v>
      </c>
      <c r="DI17" s="508">
        <v>0.94503171247357298</v>
      </c>
      <c r="DJ17" s="509">
        <v>0.99554565701559017</v>
      </c>
      <c r="DK17" s="506">
        <v>302</v>
      </c>
      <c r="DL17" s="507">
        <v>280</v>
      </c>
      <c r="DM17" s="507">
        <v>219</v>
      </c>
      <c r="DN17" s="507">
        <v>154</v>
      </c>
      <c r="DO17" s="507">
        <v>146</v>
      </c>
      <c r="DP17" s="508">
        <f t="shared" si="24"/>
        <v>0.55000000000000004</v>
      </c>
      <c r="DQ17" s="508">
        <f t="shared" si="25"/>
        <v>0.70319634703196343</v>
      </c>
      <c r="DR17" s="508">
        <v>0.71071428571428574</v>
      </c>
      <c r="DS17" s="509">
        <v>0.908675799086758</v>
      </c>
      <c r="DT17" s="506">
        <v>228</v>
      </c>
      <c r="DU17" s="507">
        <v>215</v>
      </c>
      <c r="DV17" s="507">
        <v>147</v>
      </c>
      <c r="DW17" s="507">
        <v>112</v>
      </c>
      <c r="DX17" s="507">
        <v>104</v>
      </c>
      <c r="DY17" s="508">
        <f t="shared" si="26"/>
        <v>0.52093023255813953</v>
      </c>
      <c r="DZ17" s="508">
        <f t="shared" si="27"/>
        <v>0.76190476190476186</v>
      </c>
      <c r="EA17" s="508">
        <v>0.586046511627907</v>
      </c>
      <c r="EB17" s="509">
        <v>0.8571428571428571</v>
      </c>
    </row>
    <row r="18" spans="1:132" s="2" customFormat="1" x14ac:dyDescent="0.25">
      <c r="A18" s="503" t="s">
        <v>553</v>
      </c>
      <c r="B18" s="504" t="s">
        <v>171</v>
      </c>
      <c r="C18" s="505" t="s">
        <v>172</v>
      </c>
      <c r="D18" s="506">
        <v>366</v>
      </c>
      <c r="E18" s="507">
        <v>363</v>
      </c>
      <c r="F18" s="507">
        <v>302</v>
      </c>
      <c r="G18" s="507">
        <v>269</v>
      </c>
      <c r="H18" s="507">
        <v>235</v>
      </c>
      <c r="I18" s="508">
        <f t="shared" si="28"/>
        <v>0.74104683195592291</v>
      </c>
      <c r="J18" s="509">
        <f t="shared" si="29"/>
        <v>0.89072847682119205</v>
      </c>
      <c r="K18" s="506">
        <v>342</v>
      </c>
      <c r="L18" s="507">
        <v>332</v>
      </c>
      <c r="M18" s="507">
        <v>296</v>
      </c>
      <c r="N18" s="507">
        <v>272</v>
      </c>
      <c r="O18" s="507">
        <v>216</v>
      </c>
      <c r="P18" s="508">
        <f t="shared" si="30"/>
        <v>0.81927710843373491</v>
      </c>
      <c r="Q18" s="509">
        <f t="shared" si="31"/>
        <v>0.91891891891891897</v>
      </c>
      <c r="R18" s="506">
        <v>342</v>
      </c>
      <c r="S18" s="507">
        <v>338</v>
      </c>
      <c r="T18" s="507">
        <v>296</v>
      </c>
      <c r="U18" s="507">
        <v>234</v>
      </c>
      <c r="V18" s="507">
        <v>200</v>
      </c>
      <c r="W18" s="508">
        <f t="shared" si="32"/>
        <v>0.69230769230769229</v>
      </c>
      <c r="X18" s="509">
        <f t="shared" si="33"/>
        <v>0.79054054054054057</v>
      </c>
      <c r="Y18" s="506">
        <v>261</v>
      </c>
      <c r="Z18" s="507">
        <v>258</v>
      </c>
      <c r="AA18" s="507">
        <v>245</v>
      </c>
      <c r="AB18" s="507">
        <v>228</v>
      </c>
      <c r="AC18" s="507">
        <v>172</v>
      </c>
      <c r="AD18" s="508">
        <f t="shared" si="0"/>
        <v>0.88372093023255816</v>
      </c>
      <c r="AE18" s="509">
        <f t="shared" si="1"/>
        <v>0.93061224489795913</v>
      </c>
      <c r="AF18" s="506">
        <v>281</v>
      </c>
      <c r="AG18" s="507">
        <v>274</v>
      </c>
      <c r="AH18" s="507">
        <v>239</v>
      </c>
      <c r="AI18" s="507">
        <v>182</v>
      </c>
      <c r="AJ18" s="507">
        <v>163</v>
      </c>
      <c r="AK18" s="508">
        <f t="shared" si="2"/>
        <v>0.66423357664233573</v>
      </c>
      <c r="AL18" s="509">
        <f t="shared" si="3"/>
        <v>0.7615062761506276</v>
      </c>
      <c r="AM18" s="506">
        <v>220</v>
      </c>
      <c r="AN18" s="507">
        <v>219</v>
      </c>
      <c r="AO18" s="507">
        <v>185</v>
      </c>
      <c r="AP18" s="507">
        <v>172</v>
      </c>
      <c r="AQ18" s="507">
        <v>159</v>
      </c>
      <c r="AR18" s="508">
        <f t="shared" si="4"/>
        <v>0.78538812785388123</v>
      </c>
      <c r="AS18" s="509">
        <f t="shared" si="5"/>
        <v>0.92972972972972978</v>
      </c>
      <c r="AT18" s="506">
        <v>257</v>
      </c>
      <c r="AU18" s="507">
        <v>257</v>
      </c>
      <c r="AV18" s="507">
        <v>193</v>
      </c>
      <c r="AW18" s="507">
        <v>163</v>
      </c>
      <c r="AX18" s="507">
        <v>144</v>
      </c>
      <c r="AY18" s="508">
        <f t="shared" si="6"/>
        <v>0.63424124513618674</v>
      </c>
      <c r="AZ18" s="509">
        <f t="shared" si="7"/>
        <v>0.84455958549222798</v>
      </c>
      <c r="BA18" s="506">
        <v>179</v>
      </c>
      <c r="BB18" s="507">
        <v>177</v>
      </c>
      <c r="BC18" s="507">
        <v>130</v>
      </c>
      <c r="BD18" s="507">
        <v>113</v>
      </c>
      <c r="BE18" s="507">
        <v>89</v>
      </c>
      <c r="BF18" s="508">
        <f t="shared" si="8"/>
        <v>0.6384180790960452</v>
      </c>
      <c r="BG18" s="509">
        <f t="shared" si="9"/>
        <v>0.86923076923076925</v>
      </c>
      <c r="BH18" s="506">
        <v>203</v>
      </c>
      <c r="BI18" s="507">
        <v>201</v>
      </c>
      <c r="BJ18" s="507">
        <v>201</v>
      </c>
      <c r="BK18" s="507">
        <v>154</v>
      </c>
      <c r="BL18" s="507">
        <v>128</v>
      </c>
      <c r="BM18" s="508">
        <f t="shared" si="10"/>
        <v>0.76616915422885568</v>
      </c>
      <c r="BN18" s="509">
        <f t="shared" si="11"/>
        <v>0.76616915422885568</v>
      </c>
      <c r="BO18" s="506">
        <v>181</v>
      </c>
      <c r="BP18" s="507">
        <v>173</v>
      </c>
      <c r="BQ18" s="507">
        <v>143</v>
      </c>
      <c r="BR18" s="507">
        <v>88</v>
      </c>
      <c r="BS18" s="507">
        <v>79</v>
      </c>
      <c r="BT18" s="508">
        <f t="shared" si="12"/>
        <v>0.50867052023121384</v>
      </c>
      <c r="BU18" s="509">
        <f t="shared" si="13"/>
        <v>0.61538461538461542</v>
      </c>
      <c r="BV18" s="506">
        <v>113</v>
      </c>
      <c r="BW18" s="507">
        <v>111</v>
      </c>
      <c r="BX18" s="507">
        <v>88</v>
      </c>
      <c r="BY18" s="507">
        <v>73</v>
      </c>
      <c r="BZ18" s="507">
        <v>65</v>
      </c>
      <c r="CA18" s="508">
        <f t="shared" si="14"/>
        <v>0.65765765765765771</v>
      </c>
      <c r="CB18" s="509">
        <f t="shared" si="15"/>
        <v>0.82954545454545459</v>
      </c>
      <c r="CC18" s="506">
        <v>98</v>
      </c>
      <c r="CD18" s="507">
        <v>97</v>
      </c>
      <c r="CE18" s="507">
        <v>97</v>
      </c>
      <c r="CF18" s="507">
        <v>97</v>
      </c>
      <c r="CG18" s="507">
        <v>78</v>
      </c>
      <c r="CH18" s="508">
        <f t="shared" si="16"/>
        <v>1</v>
      </c>
      <c r="CI18" s="509">
        <f t="shared" si="17"/>
        <v>1</v>
      </c>
      <c r="CJ18" s="506">
        <v>109</v>
      </c>
      <c r="CK18" s="507">
        <v>107</v>
      </c>
      <c r="CL18" s="507">
        <v>107</v>
      </c>
      <c r="CM18" s="507">
        <v>100</v>
      </c>
      <c r="CN18" s="507">
        <v>79</v>
      </c>
      <c r="CO18" s="508">
        <f t="shared" si="18"/>
        <v>0.93457943925233644</v>
      </c>
      <c r="CP18" s="508">
        <f t="shared" si="19"/>
        <v>0.93457943925233644</v>
      </c>
      <c r="CQ18" s="508">
        <v>0.9719626168224299</v>
      </c>
      <c r="CR18" s="509">
        <v>0.9719626168224299</v>
      </c>
      <c r="CS18" s="506">
        <v>142</v>
      </c>
      <c r="CT18" s="507">
        <v>137</v>
      </c>
      <c r="CU18" s="507">
        <v>126</v>
      </c>
      <c r="CV18" s="507">
        <v>109</v>
      </c>
      <c r="CW18" s="507">
        <v>94</v>
      </c>
      <c r="CX18" s="508">
        <f t="shared" si="20"/>
        <v>0.79562043795620441</v>
      </c>
      <c r="CY18" s="508">
        <f t="shared" si="21"/>
        <v>0.86507936507936511</v>
      </c>
      <c r="CZ18" s="508">
        <v>0.89051094890510951</v>
      </c>
      <c r="DA18" s="509">
        <v>0.96825396825396826</v>
      </c>
      <c r="DB18" s="506">
        <v>195</v>
      </c>
      <c r="DC18" s="507">
        <v>189</v>
      </c>
      <c r="DD18" s="507">
        <v>168</v>
      </c>
      <c r="DE18" s="507">
        <v>140</v>
      </c>
      <c r="DF18" s="507">
        <v>122</v>
      </c>
      <c r="DG18" s="508">
        <f t="shared" si="22"/>
        <v>0.7407407407407407</v>
      </c>
      <c r="DH18" s="508">
        <f t="shared" si="23"/>
        <v>0.83333333333333337</v>
      </c>
      <c r="DI18" s="508">
        <v>0.88888888888888884</v>
      </c>
      <c r="DJ18" s="509">
        <v>1</v>
      </c>
      <c r="DK18" s="506">
        <v>205</v>
      </c>
      <c r="DL18" s="507">
        <v>199</v>
      </c>
      <c r="DM18" s="507">
        <v>119</v>
      </c>
      <c r="DN18" s="507">
        <v>96</v>
      </c>
      <c r="DO18" s="507">
        <v>89</v>
      </c>
      <c r="DP18" s="508">
        <f t="shared" si="24"/>
        <v>0.48241206030150752</v>
      </c>
      <c r="DQ18" s="508">
        <f t="shared" si="25"/>
        <v>0.80672268907563027</v>
      </c>
      <c r="DR18" s="508">
        <v>0.49748743718592964</v>
      </c>
      <c r="DS18" s="509">
        <v>0.83193277310924374</v>
      </c>
      <c r="DT18" s="506">
        <v>195</v>
      </c>
      <c r="DU18" s="507">
        <v>183</v>
      </c>
      <c r="DV18" s="507">
        <v>122</v>
      </c>
      <c r="DW18" s="507">
        <v>112</v>
      </c>
      <c r="DX18" s="507">
        <v>104</v>
      </c>
      <c r="DY18" s="508">
        <f t="shared" si="26"/>
        <v>0.61202185792349728</v>
      </c>
      <c r="DZ18" s="508">
        <f t="shared" si="27"/>
        <v>0.91803278688524592</v>
      </c>
      <c r="EA18" s="508">
        <v>0.61202185792349728</v>
      </c>
      <c r="EB18" s="509">
        <v>0.91803278688524592</v>
      </c>
    </row>
    <row r="19" spans="1:132" s="2" customFormat="1" x14ac:dyDescent="0.25">
      <c r="A19" s="503" t="s">
        <v>553</v>
      </c>
      <c r="B19" s="504" t="s">
        <v>173</v>
      </c>
      <c r="C19" s="505" t="s">
        <v>174</v>
      </c>
      <c r="D19" s="506">
        <v>479</v>
      </c>
      <c r="E19" s="507">
        <v>398</v>
      </c>
      <c r="F19" s="507">
        <v>355</v>
      </c>
      <c r="G19" s="507">
        <v>339</v>
      </c>
      <c r="H19" s="507">
        <v>262</v>
      </c>
      <c r="I19" s="508">
        <f t="shared" si="28"/>
        <v>0.85175879396984921</v>
      </c>
      <c r="J19" s="509">
        <f t="shared" si="29"/>
        <v>0.95492957746478868</v>
      </c>
      <c r="K19" s="506">
        <v>453</v>
      </c>
      <c r="L19" s="507">
        <v>402</v>
      </c>
      <c r="M19" s="507">
        <v>372</v>
      </c>
      <c r="N19" s="507">
        <v>355</v>
      </c>
      <c r="O19" s="507">
        <v>302</v>
      </c>
      <c r="P19" s="508">
        <f t="shared" si="30"/>
        <v>0.88308457711442789</v>
      </c>
      <c r="Q19" s="509">
        <f t="shared" si="31"/>
        <v>0.95430107526881724</v>
      </c>
      <c r="R19" s="506">
        <v>418</v>
      </c>
      <c r="S19" s="507">
        <v>367</v>
      </c>
      <c r="T19" s="507">
        <v>323</v>
      </c>
      <c r="U19" s="507">
        <v>318</v>
      </c>
      <c r="V19" s="507">
        <v>259</v>
      </c>
      <c r="W19" s="508">
        <f t="shared" si="32"/>
        <v>0.86648501362397823</v>
      </c>
      <c r="X19" s="509">
        <f t="shared" si="33"/>
        <v>0.98452012383900933</v>
      </c>
      <c r="Y19" s="506">
        <v>484</v>
      </c>
      <c r="Z19" s="507">
        <v>436</v>
      </c>
      <c r="AA19" s="507">
        <v>402</v>
      </c>
      <c r="AB19" s="507">
        <v>321</v>
      </c>
      <c r="AC19" s="507">
        <v>251</v>
      </c>
      <c r="AD19" s="508">
        <f t="shared" si="0"/>
        <v>0.73623853211009171</v>
      </c>
      <c r="AE19" s="509">
        <f t="shared" si="1"/>
        <v>0.79850746268656714</v>
      </c>
      <c r="AF19" s="506">
        <v>372</v>
      </c>
      <c r="AG19" s="507">
        <v>342</v>
      </c>
      <c r="AH19" s="507">
        <v>338</v>
      </c>
      <c r="AI19" s="507">
        <v>320</v>
      </c>
      <c r="AJ19" s="507">
        <v>276</v>
      </c>
      <c r="AK19" s="508">
        <f t="shared" si="2"/>
        <v>0.93567251461988299</v>
      </c>
      <c r="AL19" s="509">
        <f t="shared" si="3"/>
        <v>0.94674556213017746</v>
      </c>
      <c r="AM19" s="506">
        <v>319</v>
      </c>
      <c r="AN19" s="507">
        <v>308</v>
      </c>
      <c r="AO19" s="507">
        <v>308</v>
      </c>
      <c r="AP19" s="507">
        <v>277</v>
      </c>
      <c r="AQ19" s="507">
        <v>244</v>
      </c>
      <c r="AR19" s="508">
        <f t="shared" si="4"/>
        <v>0.89935064935064934</v>
      </c>
      <c r="AS19" s="509">
        <f t="shared" si="5"/>
        <v>0.89935064935064934</v>
      </c>
      <c r="AT19" s="506">
        <v>397</v>
      </c>
      <c r="AU19" s="507">
        <v>365</v>
      </c>
      <c r="AV19" s="507">
        <v>348</v>
      </c>
      <c r="AW19" s="507">
        <v>280</v>
      </c>
      <c r="AX19" s="507">
        <v>241</v>
      </c>
      <c r="AY19" s="508">
        <f t="shared" si="6"/>
        <v>0.76712328767123283</v>
      </c>
      <c r="AZ19" s="509">
        <f t="shared" si="7"/>
        <v>0.8045977011494253</v>
      </c>
      <c r="BA19" s="506">
        <v>352</v>
      </c>
      <c r="BB19" s="507">
        <v>329</v>
      </c>
      <c r="BC19" s="507">
        <v>325</v>
      </c>
      <c r="BD19" s="507">
        <v>281</v>
      </c>
      <c r="BE19" s="507">
        <v>232</v>
      </c>
      <c r="BF19" s="508">
        <f t="shared" si="8"/>
        <v>0.85410334346504557</v>
      </c>
      <c r="BG19" s="509">
        <f t="shared" si="9"/>
        <v>0.86461538461538456</v>
      </c>
      <c r="BH19" s="506">
        <v>279</v>
      </c>
      <c r="BI19" s="507">
        <v>255</v>
      </c>
      <c r="BJ19" s="507">
        <v>245</v>
      </c>
      <c r="BK19" s="507">
        <v>197</v>
      </c>
      <c r="BL19" s="507">
        <v>162</v>
      </c>
      <c r="BM19" s="508">
        <f t="shared" si="10"/>
        <v>0.77254901960784317</v>
      </c>
      <c r="BN19" s="509">
        <f t="shared" si="11"/>
        <v>0.80408163265306121</v>
      </c>
      <c r="BO19" s="506">
        <v>187</v>
      </c>
      <c r="BP19" s="507">
        <v>172</v>
      </c>
      <c r="BQ19" s="507">
        <v>172</v>
      </c>
      <c r="BR19" s="507">
        <v>126</v>
      </c>
      <c r="BS19" s="507">
        <v>110</v>
      </c>
      <c r="BT19" s="508">
        <f t="shared" si="12"/>
        <v>0.73255813953488369</v>
      </c>
      <c r="BU19" s="509">
        <f t="shared" si="13"/>
        <v>0.73255813953488369</v>
      </c>
      <c r="BV19" s="506">
        <v>195</v>
      </c>
      <c r="BW19" s="507">
        <v>183</v>
      </c>
      <c r="BX19" s="507">
        <v>183</v>
      </c>
      <c r="BY19" s="507">
        <v>144</v>
      </c>
      <c r="BZ19" s="507">
        <v>132</v>
      </c>
      <c r="CA19" s="508">
        <f t="shared" si="14"/>
        <v>0.78688524590163933</v>
      </c>
      <c r="CB19" s="509">
        <f t="shared" si="15"/>
        <v>0.78688524590163933</v>
      </c>
      <c r="CC19" s="506">
        <v>440</v>
      </c>
      <c r="CD19" s="507">
        <v>412</v>
      </c>
      <c r="CE19" s="507">
        <v>297</v>
      </c>
      <c r="CF19" s="507">
        <v>297</v>
      </c>
      <c r="CG19" s="507">
        <v>257</v>
      </c>
      <c r="CH19" s="508">
        <f t="shared" si="16"/>
        <v>0.720873786407767</v>
      </c>
      <c r="CI19" s="509">
        <f t="shared" si="17"/>
        <v>1</v>
      </c>
      <c r="CJ19" s="506">
        <v>494</v>
      </c>
      <c r="CK19" s="507">
        <v>453</v>
      </c>
      <c r="CL19" s="507">
        <v>441</v>
      </c>
      <c r="CM19" s="507">
        <v>307</v>
      </c>
      <c r="CN19" s="507">
        <v>259</v>
      </c>
      <c r="CO19" s="508">
        <f t="shared" si="18"/>
        <v>0.67770419426048567</v>
      </c>
      <c r="CP19" s="508">
        <f t="shared" si="19"/>
        <v>0.69614512471655332</v>
      </c>
      <c r="CQ19" s="508">
        <v>0.81677704194260481</v>
      </c>
      <c r="CR19" s="509">
        <v>0.83900226757369611</v>
      </c>
      <c r="CS19" s="506">
        <v>647</v>
      </c>
      <c r="CT19" s="507">
        <v>586</v>
      </c>
      <c r="CU19" s="507">
        <v>550</v>
      </c>
      <c r="CV19" s="507">
        <v>383</v>
      </c>
      <c r="CW19" s="507">
        <v>320</v>
      </c>
      <c r="CX19" s="508">
        <f t="shared" si="20"/>
        <v>0.65358361774744023</v>
      </c>
      <c r="CY19" s="508">
        <f t="shared" si="21"/>
        <v>0.69636363636363641</v>
      </c>
      <c r="CZ19" s="508">
        <v>0.80204778156996592</v>
      </c>
      <c r="DA19" s="509">
        <v>0.8545454545454545</v>
      </c>
      <c r="DB19" s="506">
        <v>589</v>
      </c>
      <c r="DC19" s="507">
        <v>525</v>
      </c>
      <c r="DD19" s="507">
        <v>489</v>
      </c>
      <c r="DE19" s="507">
        <v>334</v>
      </c>
      <c r="DF19" s="507">
        <v>291</v>
      </c>
      <c r="DG19" s="508">
        <f t="shared" si="22"/>
        <v>0.6361904761904762</v>
      </c>
      <c r="DH19" s="508">
        <f t="shared" si="23"/>
        <v>0.68302658486707568</v>
      </c>
      <c r="DI19" s="508">
        <v>0.79047619047619044</v>
      </c>
      <c r="DJ19" s="509">
        <v>0.84867075664621672</v>
      </c>
      <c r="DK19" s="506">
        <v>672</v>
      </c>
      <c r="DL19" s="507">
        <v>610</v>
      </c>
      <c r="DM19" s="507">
        <v>495</v>
      </c>
      <c r="DN19" s="507">
        <v>396</v>
      </c>
      <c r="DO19" s="507">
        <v>344</v>
      </c>
      <c r="DP19" s="508">
        <f t="shared" si="24"/>
        <v>0.64918032786885249</v>
      </c>
      <c r="DQ19" s="508">
        <f t="shared" si="25"/>
        <v>0.8</v>
      </c>
      <c r="DR19" s="508">
        <v>0.65901639344262297</v>
      </c>
      <c r="DS19" s="509">
        <v>0.81212121212121213</v>
      </c>
      <c r="DT19" s="506">
        <v>633</v>
      </c>
      <c r="DU19" s="507">
        <v>555</v>
      </c>
      <c r="DV19" s="507">
        <v>484</v>
      </c>
      <c r="DW19" s="507">
        <v>357</v>
      </c>
      <c r="DX19" s="507">
        <v>296</v>
      </c>
      <c r="DY19" s="508">
        <f t="shared" si="26"/>
        <v>0.64324324324324322</v>
      </c>
      <c r="DZ19" s="508">
        <f t="shared" si="27"/>
        <v>0.73760330578512401</v>
      </c>
      <c r="EA19" s="508">
        <v>0.69189189189189193</v>
      </c>
      <c r="EB19" s="509">
        <v>0.79338842975206614</v>
      </c>
    </row>
    <row r="20" spans="1:132" s="2" customFormat="1" x14ac:dyDescent="0.25">
      <c r="A20" s="503" t="s">
        <v>553</v>
      </c>
      <c r="B20" s="504" t="s">
        <v>175</v>
      </c>
      <c r="C20" s="505" t="s">
        <v>176</v>
      </c>
      <c r="D20" s="506">
        <v>2714</v>
      </c>
      <c r="E20" s="507">
        <v>1987</v>
      </c>
      <c r="F20" s="507">
        <v>1524</v>
      </c>
      <c r="G20" s="507">
        <v>964</v>
      </c>
      <c r="H20" s="507">
        <v>691</v>
      </c>
      <c r="I20" s="508">
        <f t="shared" si="28"/>
        <v>0.48515349773527933</v>
      </c>
      <c r="J20" s="509">
        <f t="shared" si="29"/>
        <v>0.63254593175853013</v>
      </c>
      <c r="K20" s="506">
        <v>2685</v>
      </c>
      <c r="L20" s="507">
        <v>2028</v>
      </c>
      <c r="M20" s="507">
        <v>1617</v>
      </c>
      <c r="N20" s="507">
        <v>1130</v>
      </c>
      <c r="O20" s="507">
        <v>802</v>
      </c>
      <c r="P20" s="508">
        <f t="shared" si="30"/>
        <v>0.55719921104536485</v>
      </c>
      <c r="Q20" s="509">
        <f t="shared" si="31"/>
        <v>0.69882498453927022</v>
      </c>
      <c r="R20" s="506">
        <v>2952</v>
      </c>
      <c r="S20" s="507">
        <v>2164</v>
      </c>
      <c r="T20" s="507">
        <v>1793</v>
      </c>
      <c r="U20" s="507">
        <v>1168</v>
      </c>
      <c r="V20" s="507">
        <v>784</v>
      </c>
      <c r="W20" s="508">
        <f t="shared" si="32"/>
        <v>0.53974121996303137</v>
      </c>
      <c r="X20" s="509">
        <f t="shared" si="33"/>
        <v>0.65142219743446739</v>
      </c>
      <c r="Y20" s="506">
        <v>2791</v>
      </c>
      <c r="Z20" s="507">
        <v>2092</v>
      </c>
      <c r="AA20" s="507">
        <v>1751</v>
      </c>
      <c r="AB20" s="507">
        <v>1031</v>
      </c>
      <c r="AC20" s="507">
        <v>698</v>
      </c>
      <c r="AD20" s="508">
        <f t="shared" si="0"/>
        <v>0.49282982791586999</v>
      </c>
      <c r="AE20" s="509">
        <f t="shared" si="1"/>
        <v>0.58880639634494569</v>
      </c>
      <c r="AF20" s="506">
        <v>2636</v>
      </c>
      <c r="AG20" s="507">
        <v>1965</v>
      </c>
      <c r="AH20" s="507">
        <v>1643</v>
      </c>
      <c r="AI20" s="507">
        <v>1077</v>
      </c>
      <c r="AJ20" s="507">
        <v>735</v>
      </c>
      <c r="AK20" s="508">
        <f t="shared" si="2"/>
        <v>0.54809160305343507</v>
      </c>
      <c r="AL20" s="509">
        <f t="shared" si="3"/>
        <v>0.6555082166768107</v>
      </c>
      <c r="AM20" s="506">
        <v>2461</v>
      </c>
      <c r="AN20" s="507">
        <v>1836</v>
      </c>
      <c r="AO20" s="507">
        <v>1563</v>
      </c>
      <c r="AP20" s="507">
        <v>1114</v>
      </c>
      <c r="AQ20" s="507">
        <v>760</v>
      </c>
      <c r="AR20" s="508">
        <f t="shared" si="4"/>
        <v>0.60675381263616557</v>
      </c>
      <c r="AS20" s="509">
        <f t="shared" si="5"/>
        <v>0.71273192578374922</v>
      </c>
      <c r="AT20" s="506">
        <v>2461</v>
      </c>
      <c r="AU20" s="507">
        <v>1839</v>
      </c>
      <c r="AV20" s="507">
        <v>1564</v>
      </c>
      <c r="AW20" s="507">
        <v>1092</v>
      </c>
      <c r="AX20" s="507">
        <v>754</v>
      </c>
      <c r="AY20" s="508">
        <f t="shared" si="6"/>
        <v>0.59380097879282223</v>
      </c>
      <c r="AZ20" s="509">
        <f t="shared" si="7"/>
        <v>0.69820971867007675</v>
      </c>
      <c r="BA20" s="506">
        <v>2361</v>
      </c>
      <c r="BB20" s="507">
        <v>1781</v>
      </c>
      <c r="BC20" s="507">
        <v>1415</v>
      </c>
      <c r="BD20" s="507">
        <v>1018</v>
      </c>
      <c r="BE20" s="507">
        <v>702</v>
      </c>
      <c r="BF20" s="508">
        <f t="shared" si="8"/>
        <v>0.57158899494665916</v>
      </c>
      <c r="BG20" s="509">
        <f t="shared" si="9"/>
        <v>0.719434628975265</v>
      </c>
      <c r="BH20" s="506">
        <v>2587</v>
      </c>
      <c r="BI20" s="507">
        <v>1899</v>
      </c>
      <c r="BJ20" s="507">
        <v>1552</v>
      </c>
      <c r="BK20" s="507">
        <v>1033</v>
      </c>
      <c r="BL20" s="507">
        <v>726</v>
      </c>
      <c r="BM20" s="508">
        <f t="shared" si="10"/>
        <v>0.54397051079515535</v>
      </c>
      <c r="BN20" s="509">
        <f t="shared" si="11"/>
        <v>0.66559278350515461</v>
      </c>
      <c r="BO20" s="506">
        <v>2444</v>
      </c>
      <c r="BP20" s="507">
        <v>1832</v>
      </c>
      <c r="BQ20" s="507">
        <v>1517</v>
      </c>
      <c r="BR20" s="507">
        <v>1044</v>
      </c>
      <c r="BS20" s="507">
        <v>737</v>
      </c>
      <c r="BT20" s="508">
        <f t="shared" si="12"/>
        <v>0.56986899563318782</v>
      </c>
      <c r="BU20" s="509">
        <f t="shared" si="13"/>
        <v>0.6882003955174687</v>
      </c>
      <c r="BV20" s="506">
        <v>2689</v>
      </c>
      <c r="BW20" s="507">
        <v>2022</v>
      </c>
      <c r="BX20" s="507">
        <v>1660</v>
      </c>
      <c r="BY20" s="507">
        <v>1144</v>
      </c>
      <c r="BZ20" s="507">
        <v>809</v>
      </c>
      <c r="CA20" s="508">
        <f t="shared" si="14"/>
        <v>0.56577645895153317</v>
      </c>
      <c r="CB20" s="509">
        <f t="shared" si="15"/>
        <v>0.68915662650602405</v>
      </c>
      <c r="CC20" s="506">
        <v>2617</v>
      </c>
      <c r="CD20" s="507">
        <v>1955</v>
      </c>
      <c r="CE20" s="507">
        <v>1833</v>
      </c>
      <c r="CF20" s="507">
        <v>1018</v>
      </c>
      <c r="CG20" s="507">
        <v>967</v>
      </c>
      <c r="CH20" s="508">
        <f t="shared" si="16"/>
        <v>0.52071611253196926</v>
      </c>
      <c r="CI20" s="509">
        <f t="shared" si="17"/>
        <v>0.55537370430987454</v>
      </c>
      <c r="CJ20" s="506">
        <v>2503</v>
      </c>
      <c r="CK20" s="507">
        <v>1887</v>
      </c>
      <c r="CL20" s="507">
        <v>1729</v>
      </c>
      <c r="CM20" s="507">
        <v>891</v>
      </c>
      <c r="CN20" s="507">
        <v>885</v>
      </c>
      <c r="CO20" s="508">
        <f t="shared" si="18"/>
        <v>0.47217806041335453</v>
      </c>
      <c r="CP20" s="508">
        <f t="shared" si="19"/>
        <v>0.51532677848467323</v>
      </c>
      <c r="CQ20" s="508">
        <v>0.71330153683094855</v>
      </c>
      <c r="CR20" s="509">
        <v>0.77848467322151538</v>
      </c>
      <c r="CS20" s="506">
        <v>2650</v>
      </c>
      <c r="CT20" s="507">
        <v>1942</v>
      </c>
      <c r="CU20" s="507">
        <v>1600</v>
      </c>
      <c r="CV20" s="507">
        <v>733</v>
      </c>
      <c r="CW20" s="507">
        <v>726</v>
      </c>
      <c r="CX20" s="508">
        <f t="shared" si="20"/>
        <v>0.37744593202883625</v>
      </c>
      <c r="CY20" s="508">
        <f t="shared" si="21"/>
        <v>0.458125</v>
      </c>
      <c r="CZ20" s="508">
        <v>0.52317198764160655</v>
      </c>
      <c r="DA20" s="509">
        <v>0.63500000000000001</v>
      </c>
      <c r="DB20" s="506">
        <v>2807</v>
      </c>
      <c r="DC20" s="507">
        <v>2065</v>
      </c>
      <c r="DD20" s="507">
        <v>1735</v>
      </c>
      <c r="DE20" s="507">
        <v>877</v>
      </c>
      <c r="DF20" s="507">
        <v>871</v>
      </c>
      <c r="DG20" s="508">
        <f t="shared" si="22"/>
        <v>0.42469733656174335</v>
      </c>
      <c r="DH20" s="508">
        <f t="shared" si="23"/>
        <v>0.50547550432276656</v>
      </c>
      <c r="DI20" s="508">
        <v>0.661501210653753</v>
      </c>
      <c r="DJ20" s="509">
        <v>0.78731988472622483</v>
      </c>
      <c r="DK20" s="506">
        <v>2740</v>
      </c>
      <c r="DL20" s="507">
        <v>2032</v>
      </c>
      <c r="DM20" s="507">
        <v>1699</v>
      </c>
      <c r="DN20" s="507">
        <v>881</v>
      </c>
      <c r="DO20" s="507">
        <v>876</v>
      </c>
      <c r="DP20" s="508">
        <f t="shared" si="24"/>
        <v>0.43356299212598426</v>
      </c>
      <c r="DQ20" s="508">
        <f t="shared" si="25"/>
        <v>0.51854031783401999</v>
      </c>
      <c r="DR20" s="508">
        <v>0.6875</v>
      </c>
      <c r="DS20" s="509">
        <v>0.82224838140082401</v>
      </c>
      <c r="DT20" s="506">
        <v>2855</v>
      </c>
      <c r="DU20" s="507">
        <v>2103</v>
      </c>
      <c r="DV20" s="507">
        <v>1770</v>
      </c>
      <c r="DW20" s="507">
        <v>882</v>
      </c>
      <c r="DX20" s="507">
        <v>878</v>
      </c>
      <c r="DY20" s="508">
        <f t="shared" si="26"/>
        <v>0.41940085592011411</v>
      </c>
      <c r="DZ20" s="508">
        <f t="shared" si="27"/>
        <v>0.49830508474576274</v>
      </c>
      <c r="EA20" s="508">
        <v>0.59248692344270093</v>
      </c>
      <c r="EB20" s="509">
        <v>0.70395480225988705</v>
      </c>
    </row>
    <row r="21" spans="1:132" s="2" customFormat="1" x14ac:dyDescent="0.25">
      <c r="A21" s="503" t="s">
        <v>553</v>
      </c>
      <c r="B21" s="504" t="s">
        <v>177</v>
      </c>
      <c r="C21" s="505" t="s">
        <v>178</v>
      </c>
      <c r="D21" s="506">
        <v>1611</v>
      </c>
      <c r="E21" s="507">
        <v>1575</v>
      </c>
      <c r="F21" s="507">
        <v>1575</v>
      </c>
      <c r="G21" s="507">
        <v>1165</v>
      </c>
      <c r="H21" s="507">
        <v>778</v>
      </c>
      <c r="I21" s="508">
        <f t="shared" si="28"/>
        <v>0.73968253968253972</v>
      </c>
      <c r="J21" s="509">
        <f t="shared" si="29"/>
        <v>0.73968253968253972</v>
      </c>
      <c r="K21" s="506">
        <v>1473</v>
      </c>
      <c r="L21" s="507">
        <v>1415</v>
      </c>
      <c r="M21" s="507">
        <v>1019</v>
      </c>
      <c r="N21" s="507">
        <v>1019</v>
      </c>
      <c r="O21" s="507">
        <v>655</v>
      </c>
      <c r="P21" s="508">
        <f t="shared" si="30"/>
        <v>0.7201413427561838</v>
      </c>
      <c r="Q21" s="509">
        <f t="shared" si="31"/>
        <v>1</v>
      </c>
      <c r="R21" s="506">
        <v>1133</v>
      </c>
      <c r="S21" s="507">
        <v>1027</v>
      </c>
      <c r="T21" s="507">
        <v>938</v>
      </c>
      <c r="U21" s="507">
        <v>639</v>
      </c>
      <c r="V21" s="507">
        <v>506</v>
      </c>
      <c r="W21" s="508">
        <f t="shared" si="32"/>
        <v>0.62220058422590063</v>
      </c>
      <c r="X21" s="509">
        <f t="shared" si="33"/>
        <v>0.68123667377398722</v>
      </c>
      <c r="Y21" s="506">
        <v>987</v>
      </c>
      <c r="Z21" s="507">
        <v>897</v>
      </c>
      <c r="AA21" s="507">
        <v>819</v>
      </c>
      <c r="AB21" s="507">
        <v>552</v>
      </c>
      <c r="AC21" s="507">
        <v>423</v>
      </c>
      <c r="AD21" s="508">
        <f t="shared" si="0"/>
        <v>0.61538461538461542</v>
      </c>
      <c r="AE21" s="509">
        <f t="shared" si="1"/>
        <v>0.67399267399267404</v>
      </c>
      <c r="AF21" s="506">
        <v>1071</v>
      </c>
      <c r="AG21" s="507">
        <v>963</v>
      </c>
      <c r="AH21" s="507">
        <v>856</v>
      </c>
      <c r="AI21" s="507">
        <v>518</v>
      </c>
      <c r="AJ21" s="507">
        <v>418</v>
      </c>
      <c r="AK21" s="508">
        <f t="shared" si="2"/>
        <v>0.53790238836967808</v>
      </c>
      <c r="AL21" s="509">
        <f t="shared" si="3"/>
        <v>0.60514018691588789</v>
      </c>
      <c r="AM21" s="506">
        <v>1118</v>
      </c>
      <c r="AN21" s="507">
        <v>1024</v>
      </c>
      <c r="AO21" s="507">
        <v>953</v>
      </c>
      <c r="AP21" s="507">
        <v>675</v>
      </c>
      <c r="AQ21" s="507">
        <v>525</v>
      </c>
      <c r="AR21" s="508">
        <f t="shared" si="4"/>
        <v>0.6591796875</v>
      </c>
      <c r="AS21" s="509">
        <f t="shared" si="5"/>
        <v>0.70828961175236094</v>
      </c>
      <c r="AT21" s="506">
        <v>1187</v>
      </c>
      <c r="AU21" s="507">
        <v>1076</v>
      </c>
      <c r="AV21" s="507">
        <v>959</v>
      </c>
      <c r="AW21" s="507">
        <v>635</v>
      </c>
      <c r="AX21" s="507">
        <v>510</v>
      </c>
      <c r="AY21" s="508">
        <f t="shared" si="6"/>
        <v>0.5901486988847584</v>
      </c>
      <c r="AZ21" s="509">
        <f t="shared" si="7"/>
        <v>0.66214807090719496</v>
      </c>
      <c r="BA21" s="506">
        <v>943</v>
      </c>
      <c r="BB21" s="507">
        <v>856</v>
      </c>
      <c r="BC21" s="507">
        <v>714</v>
      </c>
      <c r="BD21" s="507">
        <v>470</v>
      </c>
      <c r="BE21" s="507">
        <v>376</v>
      </c>
      <c r="BF21" s="508">
        <f t="shared" si="8"/>
        <v>0.5490654205607477</v>
      </c>
      <c r="BG21" s="509">
        <f t="shared" si="9"/>
        <v>0.65826330532212884</v>
      </c>
      <c r="BH21" s="506">
        <v>929</v>
      </c>
      <c r="BI21" s="507">
        <v>845</v>
      </c>
      <c r="BJ21" s="507">
        <v>698</v>
      </c>
      <c r="BK21" s="507">
        <v>502</v>
      </c>
      <c r="BL21" s="507">
        <v>417</v>
      </c>
      <c r="BM21" s="508">
        <f t="shared" si="10"/>
        <v>0.59408284023668634</v>
      </c>
      <c r="BN21" s="509">
        <f t="shared" si="11"/>
        <v>0.71919770773638969</v>
      </c>
      <c r="BO21" s="506">
        <v>863</v>
      </c>
      <c r="BP21" s="507">
        <v>785</v>
      </c>
      <c r="BQ21" s="507">
        <v>676</v>
      </c>
      <c r="BR21" s="507">
        <v>488</v>
      </c>
      <c r="BS21" s="507">
        <v>407</v>
      </c>
      <c r="BT21" s="508">
        <f t="shared" si="12"/>
        <v>0.62165605095541399</v>
      </c>
      <c r="BU21" s="509">
        <f t="shared" si="13"/>
        <v>0.72189349112426038</v>
      </c>
      <c r="BV21" s="506">
        <v>921</v>
      </c>
      <c r="BW21" s="507">
        <v>849</v>
      </c>
      <c r="BX21" s="507">
        <v>722</v>
      </c>
      <c r="BY21" s="507">
        <v>435</v>
      </c>
      <c r="BZ21" s="507">
        <v>366</v>
      </c>
      <c r="CA21" s="508">
        <f t="shared" si="14"/>
        <v>0.51236749116607772</v>
      </c>
      <c r="CB21" s="509">
        <f t="shared" si="15"/>
        <v>0.60249307479224379</v>
      </c>
      <c r="CC21" s="506">
        <v>1001</v>
      </c>
      <c r="CD21" s="507">
        <v>896</v>
      </c>
      <c r="CE21" s="507">
        <v>896</v>
      </c>
      <c r="CF21" s="507">
        <v>630</v>
      </c>
      <c r="CG21" s="507">
        <v>530</v>
      </c>
      <c r="CH21" s="508">
        <f t="shared" si="16"/>
        <v>0.703125</v>
      </c>
      <c r="CI21" s="509">
        <f t="shared" si="17"/>
        <v>0.703125</v>
      </c>
      <c r="CJ21" s="506">
        <v>1059</v>
      </c>
      <c r="CK21" s="507">
        <v>965</v>
      </c>
      <c r="CL21" s="507">
        <v>965</v>
      </c>
      <c r="CM21" s="507">
        <v>670</v>
      </c>
      <c r="CN21" s="507">
        <v>563</v>
      </c>
      <c r="CO21" s="508">
        <f t="shared" si="18"/>
        <v>0.69430051813471505</v>
      </c>
      <c r="CP21" s="508">
        <f t="shared" si="19"/>
        <v>0.69430051813471505</v>
      </c>
      <c r="CQ21" s="508">
        <v>0.97616580310880829</v>
      </c>
      <c r="CR21" s="509">
        <v>0.97616580310880829</v>
      </c>
      <c r="CS21" s="506">
        <v>1197</v>
      </c>
      <c r="CT21" s="507">
        <v>1083</v>
      </c>
      <c r="CU21" s="507">
        <v>909</v>
      </c>
      <c r="CV21" s="507">
        <v>599</v>
      </c>
      <c r="CW21" s="507">
        <v>495</v>
      </c>
      <c r="CX21" s="508">
        <f t="shared" si="20"/>
        <v>0.55309325946445065</v>
      </c>
      <c r="CY21" s="508">
        <f t="shared" si="21"/>
        <v>0.65896589658965898</v>
      </c>
      <c r="CZ21" s="508">
        <v>0.55309325946445065</v>
      </c>
      <c r="DA21" s="509">
        <v>0.65896589658965898</v>
      </c>
      <c r="DB21" s="506">
        <v>1159</v>
      </c>
      <c r="DC21" s="507">
        <v>1045</v>
      </c>
      <c r="DD21" s="507">
        <v>701</v>
      </c>
      <c r="DE21" s="507">
        <v>596</v>
      </c>
      <c r="DF21" s="507">
        <v>498</v>
      </c>
      <c r="DG21" s="508">
        <f t="shared" si="22"/>
        <v>0.57033492822966503</v>
      </c>
      <c r="DH21" s="508">
        <f t="shared" si="23"/>
        <v>0.85021398002853066</v>
      </c>
      <c r="DI21" s="508">
        <v>0.57033492822966503</v>
      </c>
      <c r="DJ21" s="509">
        <v>0.85021398002853066</v>
      </c>
      <c r="DK21" s="506">
        <v>1240</v>
      </c>
      <c r="DL21" s="507">
        <v>1116</v>
      </c>
      <c r="DM21" s="507">
        <v>960</v>
      </c>
      <c r="DN21" s="507">
        <v>632</v>
      </c>
      <c r="DO21" s="507">
        <v>533</v>
      </c>
      <c r="DP21" s="508">
        <f t="shared" si="24"/>
        <v>0.56630824372759858</v>
      </c>
      <c r="DQ21" s="508">
        <f t="shared" si="25"/>
        <v>0.65833333333333333</v>
      </c>
      <c r="DR21" s="508">
        <v>0.56720430107526887</v>
      </c>
      <c r="DS21" s="509">
        <v>0.65937500000000004</v>
      </c>
      <c r="DT21" s="506">
        <v>1276</v>
      </c>
      <c r="DU21" s="507">
        <v>1148</v>
      </c>
      <c r="DV21" s="507">
        <v>966</v>
      </c>
      <c r="DW21" s="507">
        <v>649</v>
      </c>
      <c r="DX21" s="507">
        <v>540</v>
      </c>
      <c r="DY21" s="508">
        <f t="shared" si="26"/>
        <v>0.56533101045296164</v>
      </c>
      <c r="DZ21" s="508">
        <f t="shared" si="27"/>
        <v>0.67184265010351962</v>
      </c>
      <c r="EA21" s="508">
        <v>0.56620209059233451</v>
      </c>
      <c r="EB21" s="509">
        <v>0.67287784679089024</v>
      </c>
    </row>
    <row r="22" spans="1:132" s="2" customFormat="1" x14ac:dyDescent="0.25">
      <c r="A22" s="503" t="s">
        <v>553</v>
      </c>
      <c r="B22" s="504" t="s">
        <v>179</v>
      </c>
      <c r="C22" s="505" t="s">
        <v>180</v>
      </c>
      <c r="D22" s="506">
        <v>4688</v>
      </c>
      <c r="E22" s="507">
        <v>3945</v>
      </c>
      <c r="F22" s="507">
        <v>3370</v>
      </c>
      <c r="G22" s="507">
        <v>1399</v>
      </c>
      <c r="H22" s="507">
        <v>1091</v>
      </c>
      <c r="I22" s="508">
        <f t="shared" si="28"/>
        <v>0.35462610899873259</v>
      </c>
      <c r="J22" s="509">
        <f t="shared" si="29"/>
        <v>0.41513353115727003</v>
      </c>
      <c r="K22" s="506">
        <v>5741</v>
      </c>
      <c r="L22" s="507">
        <v>4656</v>
      </c>
      <c r="M22" s="507">
        <v>4233</v>
      </c>
      <c r="N22" s="507">
        <v>1699</v>
      </c>
      <c r="O22" s="507">
        <v>1391</v>
      </c>
      <c r="P22" s="508">
        <f t="shared" si="30"/>
        <v>0.36490549828178692</v>
      </c>
      <c r="Q22" s="509">
        <f t="shared" si="31"/>
        <v>0.40137018662886842</v>
      </c>
      <c r="R22" s="506">
        <v>6498</v>
      </c>
      <c r="S22" s="507">
        <v>5257</v>
      </c>
      <c r="T22" s="507">
        <v>4698</v>
      </c>
      <c r="U22" s="507">
        <v>1314</v>
      </c>
      <c r="V22" s="507">
        <v>1100</v>
      </c>
      <c r="W22" s="508">
        <f t="shared" si="32"/>
        <v>0.24995244435990108</v>
      </c>
      <c r="X22" s="509">
        <f t="shared" si="33"/>
        <v>0.27969348659003829</v>
      </c>
      <c r="Y22" s="506">
        <v>5839</v>
      </c>
      <c r="Z22" s="507">
        <v>4710</v>
      </c>
      <c r="AA22" s="507">
        <v>4154</v>
      </c>
      <c r="AB22" s="507">
        <v>1274</v>
      </c>
      <c r="AC22" s="507">
        <v>1012</v>
      </c>
      <c r="AD22" s="508">
        <f t="shared" si="0"/>
        <v>0.27048832271762208</v>
      </c>
      <c r="AE22" s="509">
        <f t="shared" si="1"/>
        <v>0.30669234472797302</v>
      </c>
      <c r="AF22" s="506">
        <v>5978</v>
      </c>
      <c r="AG22" s="507">
        <v>4840</v>
      </c>
      <c r="AH22" s="507">
        <v>3987</v>
      </c>
      <c r="AI22" s="507">
        <v>1324</v>
      </c>
      <c r="AJ22" s="507">
        <v>1099</v>
      </c>
      <c r="AK22" s="508">
        <f t="shared" si="2"/>
        <v>0.27355371900826447</v>
      </c>
      <c r="AL22" s="509">
        <f t="shared" si="3"/>
        <v>0.33207925758715828</v>
      </c>
      <c r="AM22" s="506">
        <v>5878</v>
      </c>
      <c r="AN22" s="507">
        <v>4700</v>
      </c>
      <c r="AO22" s="507">
        <v>3735</v>
      </c>
      <c r="AP22" s="507">
        <v>1538</v>
      </c>
      <c r="AQ22" s="507">
        <v>1259</v>
      </c>
      <c r="AR22" s="508">
        <f t="shared" si="4"/>
        <v>0.3272340425531915</v>
      </c>
      <c r="AS22" s="509">
        <f t="shared" si="5"/>
        <v>0.41178045515394912</v>
      </c>
      <c r="AT22" s="506">
        <v>4778</v>
      </c>
      <c r="AU22" s="507">
        <v>3759</v>
      </c>
      <c r="AV22" s="507">
        <v>3195</v>
      </c>
      <c r="AW22" s="507">
        <v>1298</v>
      </c>
      <c r="AX22" s="507">
        <v>1110</v>
      </c>
      <c r="AY22" s="508">
        <f t="shared" si="6"/>
        <v>0.34530460228784249</v>
      </c>
      <c r="AZ22" s="509">
        <f t="shared" si="7"/>
        <v>0.40625978090766823</v>
      </c>
      <c r="BA22" s="506">
        <v>5195</v>
      </c>
      <c r="BB22" s="507">
        <v>4064</v>
      </c>
      <c r="BC22" s="507">
        <v>3379</v>
      </c>
      <c r="BD22" s="507">
        <v>1251</v>
      </c>
      <c r="BE22" s="507">
        <v>1094</v>
      </c>
      <c r="BF22" s="508">
        <f t="shared" si="8"/>
        <v>0.30782480314960631</v>
      </c>
      <c r="BG22" s="509">
        <f t="shared" si="9"/>
        <v>0.37022787807043506</v>
      </c>
      <c r="BH22" s="506">
        <v>5115</v>
      </c>
      <c r="BI22" s="507">
        <v>4067</v>
      </c>
      <c r="BJ22" s="507">
        <v>3164</v>
      </c>
      <c r="BK22" s="507">
        <v>1308</v>
      </c>
      <c r="BL22" s="507">
        <v>1204</v>
      </c>
      <c r="BM22" s="508">
        <f t="shared" si="10"/>
        <v>0.32161298254241455</v>
      </c>
      <c r="BN22" s="509">
        <f t="shared" si="11"/>
        <v>0.41340075853350189</v>
      </c>
      <c r="BO22" s="506">
        <v>4781</v>
      </c>
      <c r="BP22" s="507">
        <v>3757</v>
      </c>
      <c r="BQ22" s="507">
        <v>2890</v>
      </c>
      <c r="BR22" s="507">
        <v>1156</v>
      </c>
      <c r="BS22" s="507">
        <v>1092</v>
      </c>
      <c r="BT22" s="508">
        <f t="shared" si="12"/>
        <v>0.30769230769230771</v>
      </c>
      <c r="BU22" s="509">
        <f t="shared" si="13"/>
        <v>0.4</v>
      </c>
      <c r="BV22" s="506">
        <v>4927</v>
      </c>
      <c r="BW22" s="507">
        <v>3888</v>
      </c>
      <c r="BX22" s="507">
        <v>3138</v>
      </c>
      <c r="BY22" s="507">
        <v>1246</v>
      </c>
      <c r="BZ22" s="507">
        <v>1212</v>
      </c>
      <c r="CA22" s="508">
        <f t="shared" si="14"/>
        <v>0.32047325102880658</v>
      </c>
      <c r="CB22" s="509">
        <f t="shared" si="15"/>
        <v>0.39706819630337797</v>
      </c>
      <c r="CC22" s="506">
        <v>4942</v>
      </c>
      <c r="CD22" s="507">
        <v>3866</v>
      </c>
      <c r="CE22" s="507">
        <v>3290</v>
      </c>
      <c r="CF22" s="507">
        <v>1299</v>
      </c>
      <c r="CG22" s="507">
        <v>1250</v>
      </c>
      <c r="CH22" s="508">
        <f t="shared" si="16"/>
        <v>0.33600620796689085</v>
      </c>
      <c r="CI22" s="509">
        <f t="shared" si="17"/>
        <v>0.39483282674772036</v>
      </c>
      <c r="CJ22" s="506">
        <v>5150</v>
      </c>
      <c r="CK22" s="507">
        <v>4106</v>
      </c>
      <c r="CL22" s="507">
        <v>3353</v>
      </c>
      <c r="CM22" s="507">
        <v>1138</v>
      </c>
      <c r="CN22" s="507">
        <v>1104</v>
      </c>
      <c r="CO22" s="508">
        <f t="shared" si="18"/>
        <v>0.27715538236726739</v>
      </c>
      <c r="CP22" s="508">
        <f t="shared" si="19"/>
        <v>0.33939755442886965</v>
      </c>
      <c r="CQ22" s="508">
        <v>0.33341451534339989</v>
      </c>
      <c r="CR22" s="509">
        <v>0.40829108261258573</v>
      </c>
      <c r="CS22" s="506">
        <v>5890</v>
      </c>
      <c r="CT22" s="507">
        <v>4512</v>
      </c>
      <c r="CU22" s="507">
        <v>3426</v>
      </c>
      <c r="CV22" s="507">
        <v>1205</v>
      </c>
      <c r="CW22" s="507">
        <v>1179</v>
      </c>
      <c r="CX22" s="508">
        <f t="shared" si="20"/>
        <v>0.26706560283687941</v>
      </c>
      <c r="CY22" s="508">
        <f t="shared" si="21"/>
        <v>0.35172212492702859</v>
      </c>
      <c r="CZ22" s="508">
        <v>0.31892730496453903</v>
      </c>
      <c r="DA22" s="509">
        <v>0.42002335084646819</v>
      </c>
      <c r="DB22" s="506">
        <v>6510</v>
      </c>
      <c r="DC22" s="507">
        <v>4915</v>
      </c>
      <c r="DD22" s="507">
        <v>3809</v>
      </c>
      <c r="DE22" s="507">
        <v>1210</v>
      </c>
      <c r="DF22" s="507">
        <v>1182</v>
      </c>
      <c r="DG22" s="508">
        <f t="shared" si="22"/>
        <v>0.24618514750762971</v>
      </c>
      <c r="DH22" s="508">
        <f t="shared" si="23"/>
        <v>0.31766867944342347</v>
      </c>
      <c r="DI22" s="508">
        <v>0.31230925737538151</v>
      </c>
      <c r="DJ22" s="509">
        <v>0.40299291152533473</v>
      </c>
      <c r="DK22" s="506">
        <v>6174</v>
      </c>
      <c r="DL22" s="507">
        <v>4479</v>
      </c>
      <c r="DM22" s="507">
        <v>3426</v>
      </c>
      <c r="DN22" s="507">
        <v>1100</v>
      </c>
      <c r="DO22" s="507">
        <v>1074</v>
      </c>
      <c r="DP22" s="508">
        <f t="shared" si="24"/>
        <v>0.24559053360125027</v>
      </c>
      <c r="DQ22" s="508">
        <f t="shared" si="25"/>
        <v>0.3210741389375365</v>
      </c>
      <c r="DR22" s="508">
        <v>0.32328644786782762</v>
      </c>
      <c r="DS22" s="509">
        <v>0.42265032107413891</v>
      </c>
      <c r="DT22" s="506">
        <v>5385</v>
      </c>
      <c r="DU22" s="507">
        <v>3973</v>
      </c>
      <c r="DV22" s="507">
        <v>3062</v>
      </c>
      <c r="DW22" s="507">
        <v>1314</v>
      </c>
      <c r="DX22" s="507">
        <v>1203</v>
      </c>
      <c r="DY22" s="508">
        <f t="shared" si="26"/>
        <v>0.3307324439969796</v>
      </c>
      <c r="DZ22" s="508">
        <f t="shared" si="27"/>
        <v>0.42913128674069234</v>
      </c>
      <c r="EA22" s="508">
        <v>0.37150767681852503</v>
      </c>
      <c r="EB22" s="509">
        <v>0.48203788373612017</v>
      </c>
    </row>
    <row r="23" spans="1:132" s="2" customFormat="1" x14ac:dyDescent="0.25">
      <c r="A23" s="511" t="s">
        <v>553</v>
      </c>
      <c r="B23" s="512" t="s">
        <v>181</v>
      </c>
      <c r="C23" s="513" t="s">
        <v>182</v>
      </c>
      <c r="D23" s="514">
        <v>1649</v>
      </c>
      <c r="E23" s="515">
        <v>1479</v>
      </c>
      <c r="F23" s="515">
        <v>1174</v>
      </c>
      <c r="G23" s="515">
        <v>518</v>
      </c>
      <c r="H23" s="515">
        <v>446</v>
      </c>
      <c r="I23" s="516">
        <f t="shared" si="28"/>
        <v>0.35023664638269103</v>
      </c>
      <c r="J23" s="517">
        <f t="shared" si="29"/>
        <v>0.44122657580919933</v>
      </c>
      <c r="K23" s="514">
        <v>1725</v>
      </c>
      <c r="L23" s="515">
        <v>1542</v>
      </c>
      <c r="M23" s="515">
        <v>1259</v>
      </c>
      <c r="N23" s="515">
        <v>546</v>
      </c>
      <c r="O23" s="515">
        <v>478</v>
      </c>
      <c r="P23" s="516">
        <f t="shared" si="30"/>
        <v>0.35408560311284049</v>
      </c>
      <c r="Q23" s="517">
        <f t="shared" si="31"/>
        <v>0.43367752184273234</v>
      </c>
      <c r="R23" s="514">
        <v>1751</v>
      </c>
      <c r="S23" s="515">
        <v>1558</v>
      </c>
      <c r="T23" s="515">
        <v>1310</v>
      </c>
      <c r="U23" s="515">
        <v>524</v>
      </c>
      <c r="V23" s="515">
        <v>480</v>
      </c>
      <c r="W23" s="516">
        <f t="shared" si="32"/>
        <v>0.33632862644415917</v>
      </c>
      <c r="X23" s="517">
        <f t="shared" si="33"/>
        <v>0.4</v>
      </c>
      <c r="Y23" s="514">
        <v>2293</v>
      </c>
      <c r="Z23" s="515">
        <v>1933</v>
      </c>
      <c r="AA23" s="515">
        <v>1699</v>
      </c>
      <c r="AB23" s="515">
        <v>481</v>
      </c>
      <c r="AC23" s="515">
        <v>426</v>
      </c>
      <c r="AD23" s="516">
        <f t="shared" si="0"/>
        <v>0.24883600620796689</v>
      </c>
      <c r="AE23" s="517">
        <f t="shared" si="1"/>
        <v>0.2831077104178929</v>
      </c>
      <c r="AF23" s="514">
        <v>2295</v>
      </c>
      <c r="AG23" s="515">
        <v>1924</v>
      </c>
      <c r="AH23" s="515">
        <v>1671</v>
      </c>
      <c r="AI23" s="515">
        <v>476</v>
      </c>
      <c r="AJ23" s="515">
        <v>425</v>
      </c>
      <c r="AK23" s="516">
        <f t="shared" si="2"/>
        <v>0.24740124740124741</v>
      </c>
      <c r="AL23" s="517">
        <f t="shared" si="3"/>
        <v>0.2848593656493118</v>
      </c>
      <c r="AM23" s="514">
        <v>2356</v>
      </c>
      <c r="AN23" s="515">
        <v>1990</v>
      </c>
      <c r="AO23" s="515">
        <v>1728</v>
      </c>
      <c r="AP23" s="515">
        <v>520</v>
      </c>
      <c r="AQ23" s="515">
        <v>462</v>
      </c>
      <c r="AR23" s="516">
        <f t="shared" si="4"/>
        <v>0.2613065326633166</v>
      </c>
      <c r="AS23" s="517">
        <f t="shared" si="5"/>
        <v>0.30092592592592593</v>
      </c>
      <c r="AT23" s="514">
        <v>2057</v>
      </c>
      <c r="AU23" s="515">
        <v>1732</v>
      </c>
      <c r="AV23" s="515">
        <v>1494</v>
      </c>
      <c r="AW23" s="515">
        <v>517</v>
      </c>
      <c r="AX23" s="515">
        <v>462</v>
      </c>
      <c r="AY23" s="516">
        <f t="shared" si="6"/>
        <v>0.2984988452655889</v>
      </c>
      <c r="AZ23" s="517">
        <f t="shared" si="7"/>
        <v>0.34605087014725566</v>
      </c>
      <c r="BA23" s="514">
        <v>2083</v>
      </c>
      <c r="BB23" s="515">
        <v>1736</v>
      </c>
      <c r="BC23" s="515">
        <v>1445</v>
      </c>
      <c r="BD23" s="515">
        <v>466</v>
      </c>
      <c r="BE23" s="515">
        <v>428</v>
      </c>
      <c r="BF23" s="516">
        <f t="shared" si="8"/>
        <v>0.26843317972350228</v>
      </c>
      <c r="BG23" s="517">
        <f t="shared" si="9"/>
        <v>0.32249134948096886</v>
      </c>
      <c r="BH23" s="514">
        <v>2140</v>
      </c>
      <c r="BI23" s="515">
        <v>1785</v>
      </c>
      <c r="BJ23" s="515">
        <v>1429</v>
      </c>
      <c r="BK23" s="515">
        <v>494</v>
      </c>
      <c r="BL23" s="515">
        <v>453</v>
      </c>
      <c r="BM23" s="516">
        <f t="shared" si="10"/>
        <v>0.27675070028011206</v>
      </c>
      <c r="BN23" s="517">
        <f t="shared" si="11"/>
        <v>0.3456962911126662</v>
      </c>
      <c r="BO23" s="514">
        <v>2056</v>
      </c>
      <c r="BP23" s="515">
        <v>1735</v>
      </c>
      <c r="BQ23" s="515">
        <v>1369</v>
      </c>
      <c r="BR23" s="515">
        <v>500</v>
      </c>
      <c r="BS23" s="515">
        <v>448</v>
      </c>
      <c r="BT23" s="516">
        <f t="shared" si="12"/>
        <v>0.28818443804034583</v>
      </c>
      <c r="BU23" s="517">
        <f t="shared" si="13"/>
        <v>0.36523009495982467</v>
      </c>
      <c r="BV23" s="514">
        <v>2354</v>
      </c>
      <c r="BW23" s="515">
        <v>1872</v>
      </c>
      <c r="BX23" s="515">
        <v>1577</v>
      </c>
      <c r="BY23" s="515">
        <v>496</v>
      </c>
      <c r="BZ23" s="515">
        <v>475</v>
      </c>
      <c r="CA23" s="516">
        <f t="shared" si="14"/>
        <v>0.26495726495726496</v>
      </c>
      <c r="CB23" s="517">
        <f t="shared" si="15"/>
        <v>0.31452124286620164</v>
      </c>
      <c r="CC23" s="514">
        <v>2155</v>
      </c>
      <c r="CD23" s="515">
        <v>1738</v>
      </c>
      <c r="CE23" s="515">
        <v>1440</v>
      </c>
      <c r="CF23" s="515">
        <v>624</v>
      </c>
      <c r="CG23" s="515">
        <v>598</v>
      </c>
      <c r="CH23" s="516">
        <f t="shared" si="16"/>
        <v>0.35903337169159955</v>
      </c>
      <c r="CI23" s="517">
        <f t="shared" si="17"/>
        <v>0.43333333333333335</v>
      </c>
      <c r="CJ23" s="514">
        <v>2275</v>
      </c>
      <c r="CK23" s="515">
        <v>1816</v>
      </c>
      <c r="CL23" s="515">
        <v>1648</v>
      </c>
      <c r="CM23" s="515">
        <v>584</v>
      </c>
      <c r="CN23" s="515">
        <v>562</v>
      </c>
      <c r="CO23" s="516">
        <f t="shared" si="18"/>
        <v>0.32158590308370044</v>
      </c>
      <c r="CP23" s="516">
        <f t="shared" si="19"/>
        <v>0.35436893203883496</v>
      </c>
      <c r="CQ23" s="516">
        <v>0.37665198237885461</v>
      </c>
      <c r="CR23" s="517">
        <v>0.41504854368932037</v>
      </c>
      <c r="CS23" s="514">
        <v>2418</v>
      </c>
      <c r="CT23" s="515">
        <v>1866</v>
      </c>
      <c r="CU23" s="515">
        <v>1538</v>
      </c>
      <c r="CV23" s="515">
        <v>582</v>
      </c>
      <c r="CW23" s="515">
        <v>517</v>
      </c>
      <c r="CX23" s="516">
        <f t="shared" si="20"/>
        <v>0.31189710610932475</v>
      </c>
      <c r="CY23" s="516">
        <f t="shared" si="21"/>
        <v>0.37841352405721718</v>
      </c>
      <c r="CZ23" s="516">
        <v>0.35316184351554125</v>
      </c>
      <c r="DA23" s="517">
        <v>0.42847854356306891</v>
      </c>
      <c r="DB23" s="514">
        <v>2547</v>
      </c>
      <c r="DC23" s="515">
        <v>1968</v>
      </c>
      <c r="DD23" s="515">
        <v>1683</v>
      </c>
      <c r="DE23" s="515">
        <v>663</v>
      </c>
      <c r="DF23" s="515">
        <v>618</v>
      </c>
      <c r="DG23" s="516">
        <f t="shared" si="22"/>
        <v>0.33689024390243905</v>
      </c>
      <c r="DH23" s="516">
        <f t="shared" si="23"/>
        <v>0.39393939393939392</v>
      </c>
      <c r="DI23" s="516">
        <v>0.40447154471544716</v>
      </c>
      <c r="DJ23" s="517">
        <v>0.47296494355317886</v>
      </c>
      <c r="DK23" s="514">
        <v>2591</v>
      </c>
      <c r="DL23" s="515">
        <v>2001</v>
      </c>
      <c r="DM23" s="515">
        <v>1744</v>
      </c>
      <c r="DN23" s="515">
        <v>593</v>
      </c>
      <c r="DO23" s="515">
        <v>578</v>
      </c>
      <c r="DP23" s="516">
        <f t="shared" si="24"/>
        <v>0.29635182408795602</v>
      </c>
      <c r="DQ23" s="516">
        <f t="shared" si="25"/>
        <v>0.34002293577981652</v>
      </c>
      <c r="DR23" s="516">
        <v>0.38330834582708645</v>
      </c>
      <c r="DS23" s="517">
        <v>0.43979357798165136</v>
      </c>
      <c r="DT23" s="514">
        <v>2923</v>
      </c>
      <c r="DU23" s="515">
        <v>2195</v>
      </c>
      <c r="DV23" s="515">
        <v>1907</v>
      </c>
      <c r="DW23" s="515">
        <v>616</v>
      </c>
      <c r="DX23" s="515">
        <v>596</v>
      </c>
      <c r="DY23" s="516">
        <f t="shared" si="26"/>
        <v>0.28063781321184511</v>
      </c>
      <c r="DZ23" s="516">
        <f t="shared" si="27"/>
        <v>0.32302045097011012</v>
      </c>
      <c r="EA23" s="516">
        <v>0.31890660592255127</v>
      </c>
      <c r="EB23" s="517">
        <v>0.36706869428421607</v>
      </c>
    </row>
    <row r="24" spans="1:132" s="2" customFormat="1" x14ac:dyDescent="0.25">
      <c r="A24" s="518" t="s">
        <v>183</v>
      </c>
      <c r="B24" s="519" t="s">
        <v>184</v>
      </c>
      <c r="C24" s="520"/>
      <c r="D24" s="491">
        <v>11811</v>
      </c>
      <c r="E24" s="521">
        <v>8374</v>
      </c>
      <c r="F24" s="521">
        <v>7604</v>
      </c>
      <c r="G24" s="521">
        <v>5160</v>
      </c>
      <c r="H24" s="522">
        <v>3782</v>
      </c>
      <c r="I24" s="523">
        <f t="shared" si="28"/>
        <v>0.61619297826606156</v>
      </c>
      <c r="J24" s="524">
        <f t="shared" si="29"/>
        <v>0.67859021567596001</v>
      </c>
      <c r="K24" s="491">
        <v>11466</v>
      </c>
      <c r="L24" s="521">
        <v>8090</v>
      </c>
      <c r="M24" s="521">
        <v>7371</v>
      </c>
      <c r="N24" s="521">
        <v>5162</v>
      </c>
      <c r="O24" s="522">
        <v>3849</v>
      </c>
      <c r="P24" s="523">
        <f t="shared" si="30"/>
        <v>0.63807169344870207</v>
      </c>
      <c r="Q24" s="524">
        <f t="shared" si="31"/>
        <v>0.70031203364536698</v>
      </c>
      <c r="R24" s="491">
        <v>12112</v>
      </c>
      <c r="S24" s="521">
        <v>8398</v>
      </c>
      <c r="T24" s="521">
        <v>7804</v>
      </c>
      <c r="U24" s="521">
        <v>5504</v>
      </c>
      <c r="V24" s="522">
        <v>4017</v>
      </c>
      <c r="W24" s="523">
        <f t="shared" si="32"/>
        <v>0.65539414146225294</v>
      </c>
      <c r="X24" s="524">
        <f t="shared" si="33"/>
        <v>0.70527934392619174</v>
      </c>
      <c r="Y24" s="491">
        <v>11193</v>
      </c>
      <c r="Z24" s="521">
        <v>7901</v>
      </c>
      <c r="AA24" s="521">
        <v>7390</v>
      </c>
      <c r="AB24" s="521">
        <v>5215</v>
      </c>
      <c r="AC24" s="522">
        <v>3842</v>
      </c>
      <c r="AD24" s="523">
        <f t="shared" si="0"/>
        <v>0.66004303252752816</v>
      </c>
      <c r="AE24" s="524">
        <f t="shared" si="1"/>
        <v>0.70568335588633291</v>
      </c>
      <c r="AF24" s="491">
        <v>9788</v>
      </c>
      <c r="AG24" s="521">
        <v>6950</v>
      </c>
      <c r="AH24" s="521">
        <v>6336</v>
      </c>
      <c r="AI24" s="521">
        <v>4535</v>
      </c>
      <c r="AJ24" s="522">
        <v>3390</v>
      </c>
      <c r="AK24" s="523">
        <f t="shared" si="2"/>
        <v>0.65251798561151075</v>
      </c>
      <c r="AL24" s="524">
        <f t="shared" si="3"/>
        <v>0.71575126262626265</v>
      </c>
      <c r="AM24" s="491">
        <v>9389</v>
      </c>
      <c r="AN24" s="521">
        <v>6777</v>
      </c>
      <c r="AO24" s="521">
        <v>6142</v>
      </c>
      <c r="AP24" s="521">
        <v>4182</v>
      </c>
      <c r="AQ24" s="522">
        <v>3214</v>
      </c>
      <c r="AR24" s="523">
        <f t="shared" si="4"/>
        <v>0.61708720672864104</v>
      </c>
      <c r="AS24" s="524">
        <f t="shared" si="5"/>
        <v>0.68088570498209056</v>
      </c>
      <c r="AT24" s="491">
        <v>8504</v>
      </c>
      <c r="AU24" s="521">
        <v>6099</v>
      </c>
      <c r="AV24" s="521">
        <v>5398</v>
      </c>
      <c r="AW24" s="521">
        <v>3671</v>
      </c>
      <c r="AX24" s="522">
        <v>2878</v>
      </c>
      <c r="AY24" s="523">
        <f t="shared" si="6"/>
        <v>0.60190195113953104</v>
      </c>
      <c r="AZ24" s="524">
        <f t="shared" si="7"/>
        <v>0.68006669136717302</v>
      </c>
      <c r="BA24" s="491">
        <v>8074</v>
      </c>
      <c r="BB24" s="521">
        <v>5778</v>
      </c>
      <c r="BC24" s="521">
        <v>5141</v>
      </c>
      <c r="BD24" s="521">
        <v>3605</v>
      </c>
      <c r="BE24" s="522">
        <v>2856</v>
      </c>
      <c r="BF24" s="523">
        <f t="shared" si="8"/>
        <v>0.62391831083419869</v>
      </c>
      <c r="BG24" s="524">
        <f t="shared" si="9"/>
        <v>0.70122544252091035</v>
      </c>
      <c r="BH24" s="491">
        <v>7408</v>
      </c>
      <c r="BI24" s="521">
        <v>5331</v>
      </c>
      <c r="BJ24" s="521">
        <v>4720</v>
      </c>
      <c r="BK24" s="521">
        <v>3395</v>
      </c>
      <c r="BL24" s="522">
        <v>2626</v>
      </c>
      <c r="BM24" s="523">
        <f t="shared" si="10"/>
        <v>0.63684111798912024</v>
      </c>
      <c r="BN24" s="524">
        <f t="shared" si="11"/>
        <v>0.71927966101694918</v>
      </c>
      <c r="BO24" s="491">
        <v>6536</v>
      </c>
      <c r="BP24" s="521">
        <v>4736</v>
      </c>
      <c r="BQ24" s="521">
        <v>4203</v>
      </c>
      <c r="BR24" s="521">
        <v>3110</v>
      </c>
      <c r="BS24" s="522">
        <v>2416</v>
      </c>
      <c r="BT24" s="523">
        <f t="shared" si="12"/>
        <v>0.65667229729729726</v>
      </c>
      <c r="BU24" s="524">
        <f t="shared" si="13"/>
        <v>0.73994765643587912</v>
      </c>
      <c r="BV24" s="491">
        <v>6691</v>
      </c>
      <c r="BW24" s="521">
        <v>4828</v>
      </c>
      <c r="BX24" s="521">
        <v>4304</v>
      </c>
      <c r="BY24" s="521">
        <v>3151</v>
      </c>
      <c r="BZ24" s="522">
        <v>2544</v>
      </c>
      <c r="CA24" s="523">
        <f t="shared" si="14"/>
        <v>0.65265120132560062</v>
      </c>
      <c r="CB24" s="524">
        <f t="shared" si="15"/>
        <v>0.73210966542750933</v>
      </c>
      <c r="CC24" s="491">
        <v>6732</v>
      </c>
      <c r="CD24" s="521">
        <v>4880</v>
      </c>
      <c r="CE24" s="521">
        <v>4553</v>
      </c>
      <c r="CF24" s="521">
        <v>3714</v>
      </c>
      <c r="CG24" s="522">
        <v>2684</v>
      </c>
      <c r="CH24" s="523">
        <f t="shared" si="16"/>
        <v>0.76106557377049178</v>
      </c>
      <c r="CI24" s="524">
        <f t="shared" si="17"/>
        <v>0.81572589501427628</v>
      </c>
      <c r="CJ24" s="491">
        <v>6915</v>
      </c>
      <c r="CK24" s="521">
        <v>4980</v>
      </c>
      <c r="CL24" s="521">
        <v>4658</v>
      </c>
      <c r="CM24" s="521">
        <v>3754</v>
      </c>
      <c r="CN24" s="522">
        <v>2653</v>
      </c>
      <c r="CO24" s="523">
        <f t="shared" si="18"/>
        <v>0.75381526104417673</v>
      </c>
      <c r="CP24" s="663">
        <f t="shared" si="19"/>
        <v>0.80592528982395883</v>
      </c>
      <c r="CQ24" s="523">
        <v>0.79377510040160637</v>
      </c>
      <c r="CR24" s="524">
        <v>0.84864748819235725</v>
      </c>
      <c r="CS24" s="491">
        <v>7426</v>
      </c>
      <c r="CT24" s="521">
        <v>5245</v>
      </c>
      <c r="CU24" s="521">
        <v>4692</v>
      </c>
      <c r="CV24" s="521">
        <v>3700</v>
      </c>
      <c r="CW24" s="522">
        <v>2556</v>
      </c>
      <c r="CX24" s="523">
        <f t="shared" si="20"/>
        <v>0.70543374642516687</v>
      </c>
      <c r="CY24" s="663">
        <f t="shared" si="21"/>
        <v>0.78857630008525148</v>
      </c>
      <c r="CZ24" s="523">
        <v>0.742230695900858</v>
      </c>
      <c r="DA24" s="524">
        <v>0.82971014492753625</v>
      </c>
      <c r="DB24" s="491">
        <v>8376</v>
      </c>
      <c r="DC24" s="521">
        <v>5696</v>
      </c>
      <c r="DD24" s="521">
        <v>5035</v>
      </c>
      <c r="DE24" s="521">
        <v>3758</v>
      </c>
      <c r="DF24" s="522">
        <v>2739</v>
      </c>
      <c r="DG24" s="523">
        <f t="shared" si="22"/>
        <v>0.6597612359550562</v>
      </c>
      <c r="DH24" s="663">
        <f t="shared" si="23"/>
        <v>0.74637537239324725</v>
      </c>
      <c r="DI24" s="523">
        <v>0.7377106741573034</v>
      </c>
      <c r="DJ24" s="524">
        <v>0.83455809334657394</v>
      </c>
      <c r="DK24" s="491">
        <v>8728</v>
      </c>
      <c r="DL24" s="521">
        <v>5858</v>
      </c>
      <c r="DM24" s="521">
        <v>5140</v>
      </c>
      <c r="DN24" s="521">
        <v>3671</v>
      </c>
      <c r="DO24" s="522">
        <v>2670</v>
      </c>
      <c r="DP24" s="523">
        <f t="shared" si="24"/>
        <v>0.62666439057698875</v>
      </c>
      <c r="DQ24" s="663">
        <f t="shared" si="25"/>
        <v>0.71420233463035021</v>
      </c>
      <c r="DR24" s="523">
        <v>0.7135541140320929</v>
      </c>
      <c r="DS24" s="524">
        <v>0.8132295719844358</v>
      </c>
      <c r="DT24" s="491">
        <v>9342</v>
      </c>
      <c r="DU24" s="521">
        <v>6247</v>
      </c>
      <c r="DV24" s="521">
        <v>5523</v>
      </c>
      <c r="DW24" s="521">
        <v>3973</v>
      </c>
      <c r="DX24" s="522">
        <v>3072</v>
      </c>
      <c r="DY24" s="523">
        <f t="shared" si="26"/>
        <v>0.63598527293100693</v>
      </c>
      <c r="DZ24" s="663">
        <f t="shared" si="27"/>
        <v>0.71935542277747599</v>
      </c>
      <c r="EA24" s="523">
        <v>0.70481831279013929</v>
      </c>
      <c r="EB24" s="524">
        <v>0.79721166032953106</v>
      </c>
    </row>
    <row r="25" spans="1:132" s="2" customFormat="1" x14ac:dyDescent="0.25">
      <c r="A25" s="496" t="s">
        <v>183</v>
      </c>
      <c r="B25" s="497" t="s">
        <v>185</v>
      </c>
      <c r="C25" s="498" t="s">
        <v>186</v>
      </c>
      <c r="D25" s="499">
        <v>2170</v>
      </c>
      <c r="E25" s="500">
        <v>1723</v>
      </c>
      <c r="F25" s="500">
        <v>1520</v>
      </c>
      <c r="G25" s="500">
        <v>794</v>
      </c>
      <c r="H25" s="500">
        <v>642</v>
      </c>
      <c r="I25" s="501">
        <f t="shared" si="28"/>
        <v>0.4608241439349971</v>
      </c>
      <c r="J25" s="502">
        <f t="shared" si="29"/>
        <v>0.52236842105263159</v>
      </c>
      <c r="K25" s="499">
        <v>2357</v>
      </c>
      <c r="L25" s="500">
        <v>1822</v>
      </c>
      <c r="M25" s="500">
        <v>1586</v>
      </c>
      <c r="N25" s="500">
        <v>785</v>
      </c>
      <c r="O25" s="500">
        <v>634</v>
      </c>
      <c r="P25" s="501">
        <f t="shared" si="30"/>
        <v>0.43084522502744238</v>
      </c>
      <c r="Q25" s="502">
        <f t="shared" si="31"/>
        <v>0.49495586380832285</v>
      </c>
      <c r="R25" s="499">
        <v>2087</v>
      </c>
      <c r="S25" s="500">
        <v>1619</v>
      </c>
      <c r="T25" s="500">
        <v>1434</v>
      </c>
      <c r="U25" s="500">
        <v>875</v>
      </c>
      <c r="V25" s="500">
        <v>680</v>
      </c>
      <c r="W25" s="501">
        <f t="shared" si="32"/>
        <v>0.54045707226683137</v>
      </c>
      <c r="X25" s="502">
        <f t="shared" si="33"/>
        <v>0.61018131101813111</v>
      </c>
      <c r="Y25" s="499">
        <v>1984</v>
      </c>
      <c r="Z25" s="500">
        <v>1526</v>
      </c>
      <c r="AA25" s="500">
        <v>1344</v>
      </c>
      <c r="AB25" s="500">
        <v>886</v>
      </c>
      <c r="AC25" s="500">
        <v>719</v>
      </c>
      <c r="AD25" s="501">
        <f t="shared" si="0"/>
        <v>0.58060288335517696</v>
      </c>
      <c r="AE25" s="502">
        <f t="shared" si="1"/>
        <v>0.65922619047619047</v>
      </c>
      <c r="AF25" s="499">
        <v>2005</v>
      </c>
      <c r="AG25" s="500">
        <v>1583</v>
      </c>
      <c r="AH25" s="500">
        <v>1323</v>
      </c>
      <c r="AI25" s="500">
        <v>811</v>
      </c>
      <c r="AJ25" s="500">
        <v>668</v>
      </c>
      <c r="AK25" s="501">
        <f t="shared" si="2"/>
        <v>0.51231838281743525</v>
      </c>
      <c r="AL25" s="502">
        <f t="shared" si="3"/>
        <v>0.6130007558578987</v>
      </c>
      <c r="AM25" s="499">
        <v>1743</v>
      </c>
      <c r="AN25" s="500">
        <v>1375</v>
      </c>
      <c r="AO25" s="500">
        <v>1212</v>
      </c>
      <c r="AP25" s="500">
        <v>941</v>
      </c>
      <c r="AQ25" s="500">
        <v>714</v>
      </c>
      <c r="AR25" s="501">
        <f t="shared" si="4"/>
        <v>0.6843636363636364</v>
      </c>
      <c r="AS25" s="502">
        <f t="shared" si="5"/>
        <v>0.77640264026402639</v>
      </c>
      <c r="AT25" s="499">
        <v>1780</v>
      </c>
      <c r="AU25" s="500">
        <v>1377</v>
      </c>
      <c r="AV25" s="500">
        <v>1199</v>
      </c>
      <c r="AW25" s="500">
        <v>868</v>
      </c>
      <c r="AX25" s="500">
        <v>703</v>
      </c>
      <c r="AY25" s="501">
        <f t="shared" si="6"/>
        <v>0.63035584604212058</v>
      </c>
      <c r="AZ25" s="502">
        <f t="shared" si="7"/>
        <v>0.72393661384487074</v>
      </c>
      <c r="BA25" s="499">
        <v>1804</v>
      </c>
      <c r="BB25" s="500">
        <v>1400</v>
      </c>
      <c r="BC25" s="500">
        <v>1252</v>
      </c>
      <c r="BD25" s="500">
        <v>862</v>
      </c>
      <c r="BE25" s="500">
        <v>663</v>
      </c>
      <c r="BF25" s="501">
        <f t="shared" si="8"/>
        <v>0.61571428571428577</v>
      </c>
      <c r="BG25" s="502">
        <f t="shared" si="9"/>
        <v>0.68849840255591055</v>
      </c>
      <c r="BH25" s="499">
        <v>1638</v>
      </c>
      <c r="BI25" s="500">
        <v>1282</v>
      </c>
      <c r="BJ25" s="500">
        <v>1102</v>
      </c>
      <c r="BK25" s="500">
        <v>744</v>
      </c>
      <c r="BL25" s="500">
        <v>561</v>
      </c>
      <c r="BM25" s="501">
        <f t="shared" si="10"/>
        <v>0.58034321372854913</v>
      </c>
      <c r="BN25" s="502">
        <f t="shared" si="11"/>
        <v>0.67513611615245006</v>
      </c>
      <c r="BO25" s="499">
        <v>1155</v>
      </c>
      <c r="BP25" s="500">
        <v>923</v>
      </c>
      <c r="BQ25" s="500">
        <v>819</v>
      </c>
      <c r="BR25" s="500">
        <v>616</v>
      </c>
      <c r="BS25" s="500">
        <v>466</v>
      </c>
      <c r="BT25" s="501">
        <f t="shared" si="12"/>
        <v>0.66738894907908997</v>
      </c>
      <c r="BU25" s="502">
        <f t="shared" si="13"/>
        <v>0.75213675213675213</v>
      </c>
      <c r="BV25" s="499">
        <v>1304</v>
      </c>
      <c r="BW25" s="500">
        <v>1036</v>
      </c>
      <c r="BX25" s="500">
        <v>910</v>
      </c>
      <c r="BY25" s="500">
        <v>659</v>
      </c>
      <c r="BZ25" s="500">
        <v>503</v>
      </c>
      <c r="CA25" s="501">
        <f t="shared" si="14"/>
        <v>0.63610038610038611</v>
      </c>
      <c r="CB25" s="502">
        <f t="shared" si="15"/>
        <v>0.72417582417582416</v>
      </c>
      <c r="CC25" s="499">
        <v>1271</v>
      </c>
      <c r="CD25" s="500">
        <v>1008</v>
      </c>
      <c r="CE25" s="500">
        <v>961</v>
      </c>
      <c r="CF25" s="500">
        <v>840</v>
      </c>
      <c r="CG25" s="500">
        <v>509</v>
      </c>
      <c r="CH25" s="501">
        <f t="shared" si="16"/>
        <v>0.83333333333333337</v>
      </c>
      <c r="CI25" s="502">
        <f t="shared" si="17"/>
        <v>0.87408949011446413</v>
      </c>
      <c r="CJ25" s="499">
        <v>1248</v>
      </c>
      <c r="CK25" s="500">
        <v>989</v>
      </c>
      <c r="CL25" s="500">
        <v>969</v>
      </c>
      <c r="CM25" s="500">
        <v>838</v>
      </c>
      <c r="CN25" s="500">
        <v>559</v>
      </c>
      <c r="CO25" s="501">
        <f t="shared" si="18"/>
        <v>0.84732052578361983</v>
      </c>
      <c r="CP25" s="501">
        <f t="shared" si="19"/>
        <v>0.86480908152734781</v>
      </c>
      <c r="CQ25" s="501">
        <v>0.84732052578361983</v>
      </c>
      <c r="CR25" s="502">
        <v>0.86480908152734781</v>
      </c>
      <c r="CS25" s="499">
        <v>1265</v>
      </c>
      <c r="CT25" s="500">
        <v>958</v>
      </c>
      <c r="CU25" s="500">
        <v>846</v>
      </c>
      <c r="CV25" s="500">
        <v>708</v>
      </c>
      <c r="CW25" s="500">
        <v>455</v>
      </c>
      <c r="CX25" s="501">
        <f t="shared" si="20"/>
        <v>0.73903966597077242</v>
      </c>
      <c r="CY25" s="501">
        <f t="shared" si="21"/>
        <v>0.83687943262411346</v>
      </c>
      <c r="CZ25" s="501">
        <v>0.73903966597077242</v>
      </c>
      <c r="DA25" s="502">
        <v>0.83687943262411346</v>
      </c>
      <c r="DB25" s="499">
        <v>1486</v>
      </c>
      <c r="DC25" s="500">
        <v>1110</v>
      </c>
      <c r="DD25" s="500">
        <v>961</v>
      </c>
      <c r="DE25" s="500">
        <v>775</v>
      </c>
      <c r="DF25" s="500">
        <v>539</v>
      </c>
      <c r="DG25" s="501">
        <f t="shared" si="22"/>
        <v>0.69819819819819817</v>
      </c>
      <c r="DH25" s="501">
        <f t="shared" si="23"/>
        <v>0.80645161290322576</v>
      </c>
      <c r="DI25" s="501">
        <v>0.69819819819819817</v>
      </c>
      <c r="DJ25" s="502">
        <v>0.80645161290322576</v>
      </c>
      <c r="DK25" s="499">
        <v>1806</v>
      </c>
      <c r="DL25" s="500">
        <v>1325</v>
      </c>
      <c r="DM25" s="500">
        <v>1137</v>
      </c>
      <c r="DN25" s="500">
        <v>840</v>
      </c>
      <c r="DO25" s="500">
        <v>529</v>
      </c>
      <c r="DP25" s="501">
        <f t="shared" si="24"/>
        <v>0.63396226415094337</v>
      </c>
      <c r="DQ25" s="501">
        <f t="shared" si="25"/>
        <v>0.73878627968337729</v>
      </c>
      <c r="DR25" s="501">
        <v>0.63396226415094337</v>
      </c>
      <c r="DS25" s="502">
        <v>0.73878627968337729</v>
      </c>
      <c r="DT25" s="499">
        <v>1989</v>
      </c>
      <c r="DU25" s="500">
        <v>1456</v>
      </c>
      <c r="DV25" s="500">
        <v>1258</v>
      </c>
      <c r="DW25" s="500">
        <v>942</v>
      </c>
      <c r="DX25" s="500">
        <v>693</v>
      </c>
      <c r="DY25" s="501">
        <f t="shared" si="26"/>
        <v>0.64697802197802201</v>
      </c>
      <c r="DZ25" s="501">
        <f t="shared" si="27"/>
        <v>0.74880763116057236</v>
      </c>
      <c r="EA25" s="501">
        <v>0.68131868131868134</v>
      </c>
      <c r="EB25" s="502">
        <v>0.78855325914149443</v>
      </c>
    </row>
    <row r="26" spans="1:132" s="2" customFormat="1" x14ac:dyDescent="0.25">
      <c r="A26" s="496" t="s">
        <v>183</v>
      </c>
      <c r="B26" s="497" t="s">
        <v>187</v>
      </c>
      <c r="C26" s="498" t="s">
        <v>162</v>
      </c>
      <c r="D26" s="506">
        <v>1028</v>
      </c>
      <c r="E26" s="507">
        <v>839</v>
      </c>
      <c r="F26" s="507">
        <v>786</v>
      </c>
      <c r="G26" s="507">
        <v>545</v>
      </c>
      <c r="H26" s="507">
        <v>306</v>
      </c>
      <c r="I26" s="508">
        <f t="shared" si="28"/>
        <v>0.64958283671036954</v>
      </c>
      <c r="J26" s="509">
        <f t="shared" si="29"/>
        <v>0.69338422391857502</v>
      </c>
      <c r="K26" s="506">
        <v>1003</v>
      </c>
      <c r="L26" s="507">
        <v>833</v>
      </c>
      <c r="M26" s="507">
        <v>788</v>
      </c>
      <c r="N26" s="507">
        <v>469</v>
      </c>
      <c r="O26" s="507">
        <v>283</v>
      </c>
      <c r="P26" s="508">
        <f t="shared" si="30"/>
        <v>0.56302521008403361</v>
      </c>
      <c r="Q26" s="509">
        <f t="shared" si="31"/>
        <v>0.59517766497461932</v>
      </c>
      <c r="R26" s="506">
        <v>1021</v>
      </c>
      <c r="S26" s="507">
        <v>814</v>
      </c>
      <c r="T26" s="507">
        <v>741</v>
      </c>
      <c r="U26" s="507">
        <v>497</v>
      </c>
      <c r="V26" s="507">
        <v>275</v>
      </c>
      <c r="W26" s="508">
        <f t="shared" si="32"/>
        <v>0.61056511056511054</v>
      </c>
      <c r="X26" s="509">
        <f t="shared" si="33"/>
        <v>0.67071524966261808</v>
      </c>
      <c r="Y26" s="506">
        <v>875</v>
      </c>
      <c r="Z26" s="507">
        <v>710</v>
      </c>
      <c r="AA26" s="507">
        <v>710</v>
      </c>
      <c r="AB26" s="507">
        <v>449</v>
      </c>
      <c r="AC26" s="507">
        <v>264</v>
      </c>
      <c r="AD26" s="508">
        <f t="shared" si="0"/>
        <v>0.63239436619718314</v>
      </c>
      <c r="AE26" s="509">
        <f t="shared" si="1"/>
        <v>0.63239436619718314</v>
      </c>
      <c r="AF26" s="506">
        <v>741</v>
      </c>
      <c r="AG26" s="507">
        <v>647</v>
      </c>
      <c r="AH26" s="507">
        <v>511</v>
      </c>
      <c r="AI26" s="507">
        <v>405</v>
      </c>
      <c r="AJ26" s="507">
        <v>247</v>
      </c>
      <c r="AK26" s="508">
        <f t="shared" si="2"/>
        <v>0.62596599690880994</v>
      </c>
      <c r="AL26" s="509">
        <f t="shared" si="3"/>
        <v>0.79256360078277888</v>
      </c>
      <c r="AM26" s="506">
        <v>677</v>
      </c>
      <c r="AN26" s="507">
        <v>583</v>
      </c>
      <c r="AO26" s="507">
        <v>474</v>
      </c>
      <c r="AP26" s="507">
        <v>351</v>
      </c>
      <c r="AQ26" s="507">
        <v>210</v>
      </c>
      <c r="AR26" s="508">
        <f t="shared" si="4"/>
        <v>0.60205831903945106</v>
      </c>
      <c r="AS26" s="509">
        <f t="shared" si="5"/>
        <v>0.740506329113924</v>
      </c>
      <c r="AT26" s="506">
        <v>639</v>
      </c>
      <c r="AU26" s="507">
        <v>542</v>
      </c>
      <c r="AV26" s="507">
        <v>428</v>
      </c>
      <c r="AW26" s="507">
        <v>341</v>
      </c>
      <c r="AX26" s="507">
        <v>203</v>
      </c>
      <c r="AY26" s="508">
        <f t="shared" si="6"/>
        <v>0.62915129151291516</v>
      </c>
      <c r="AZ26" s="509">
        <f t="shared" si="7"/>
        <v>0.79672897196261683</v>
      </c>
      <c r="BA26" s="506">
        <v>583</v>
      </c>
      <c r="BB26" s="507">
        <v>497</v>
      </c>
      <c r="BC26" s="507">
        <v>373</v>
      </c>
      <c r="BD26" s="507">
        <v>301</v>
      </c>
      <c r="BE26" s="507">
        <v>188</v>
      </c>
      <c r="BF26" s="508">
        <f t="shared" si="8"/>
        <v>0.60563380281690138</v>
      </c>
      <c r="BG26" s="509">
        <f t="shared" si="9"/>
        <v>0.806970509383378</v>
      </c>
      <c r="BH26" s="506">
        <v>471</v>
      </c>
      <c r="BI26" s="507">
        <v>414</v>
      </c>
      <c r="BJ26" s="507">
        <v>312</v>
      </c>
      <c r="BK26" s="507">
        <v>236</v>
      </c>
      <c r="BL26" s="507">
        <v>141</v>
      </c>
      <c r="BM26" s="508">
        <f t="shared" si="10"/>
        <v>0.57004830917874394</v>
      </c>
      <c r="BN26" s="509">
        <f t="shared" si="11"/>
        <v>0.75641025641025639</v>
      </c>
      <c r="BO26" s="506">
        <v>528</v>
      </c>
      <c r="BP26" s="507">
        <v>438</v>
      </c>
      <c r="BQ26" s="507">
        <v>358</v>
      </c>
      <c r="BR26" s="507">
        <v>281</v>
      </c>
      <c r="BS26" s="507">
        <v>166</v>
      </c>
      <c r="BT26" s="508">
        <f t="shared" si="12"/>
        <v>0.64155251141552516</v>
      </c>
      <c r="BU26" s="509">
        <f t="shared" si="13"/>
        <v>0.78491620111731841</v>
      </c>
      <c r="BV26" s="506">
        <v>424</v>
      </c>
      <c r="BW26" s="507">
        <v>370</v>
      </c>
      <c r="BX26" s="507">
        <v>286</v>
      </c>
      <c r="BY26" s="507">
        <v>222</v>
      </c>
      <c r="BZ26" s="507">
        <v>140</v>
      </c>
      <c r="CA26" s="508">
        <f t="shared" si="14"/>
        <v>0.6</v>
      </c>
      <c r="CB26" s="509">
        <f t="shared" si="15"/>
        <v>0.77622377622377625</v>
      </c>
      <c r="CC26" s="506">
        <v>619</v>
      </c>
      <c r="CD26" s="507">
        <v>522</v>
      </c>
      <c r="CE26" s="507">
        <v>519</v>
      </c>
      <c r="CF26" s="507">
        <v>378</v>
      </c>
      <c r="CG26" s="507">
        <v>282</v>
      </c>
      <c r="CH26" s="508">
        <f t="shared" si="16"/>
        <v>0.72413793103448276</v>
      </c>
      <c r="CI26" s="509">
        <f t="shared" si="17"/>
        <v>0.72832369942196529</v>
      </c>
      <c r="CJ26" s="506">
        <v>716</v>
      </c>
      <c r="CK26" s="507">
        <v>603</v>
      </c>
      <c r="CL26" s="507">
        <v>596</v>
      </c>
      <c r="CM26" s="507">
        <v>427</v>
      </c>
      <c r="CN26" s="507">
        <v>315</v>
      </c>
      <c r="CO26" s="508">
        <f t="shared" si="18"/>
        <v>0.70812603648424544</v>
      </c>
      <c r="CP26" s="508">
        <f t="shared" si="19"/>
        <v>0.71644295302013428</v>
      </c>
      <c r="CQ26" s="508">
        <v>0.96683250414593702</v>
      </c>
      <c r="CR26" s="509">
        <v>0.97818791946308725</v>
      </c>
      <c r="CS26" s="506">
        <v>868</v>
      </c>
      <c r="CT26" s="507">
        <v>721</v>
      </c>
      <c r="CU26" s="507">
        <v>575</v>
      </c>
      <c r="CV26" s="507">
        <v>442</v>
      </c>
      <c r="CW26" s="507">
        <v>265</v>
      </c>
      <c r="CX26" s="508">
        <f t="shared" si="20"/>
        <v>0.61303744798890425</v>
      </c>
      <c r="CY26" s="508">
        <f t="shared" si="21"/>
        <v>0.768695652173913</v>
      </c>
      <c r="CZ26" s="508">
        <v>0.73647711511789182</v>
      </c>
      <c r="DA26" s="509">
        <v>0.92347826086956519</v>
      </c>
      <c r="DB26" s="506">
        <v>1043</v>
      </c>
      <c r="DC26" s="507">
        <v>841</v>
      </c>
      <c r="DD26" s="507">
        <v>676</v>
      </c>
      <c r="DE26" s="507">
        <v>516</v>
      </c>
      <c r="DF26" s="507">
        <v>354</v>
      </c>
      <c r="DG26" s="508">
        <f t="shared" si="22"/>
        <v>0.61355529131985731</v>
      </c>
      <c r="DH26" s="508">
        <f t="shared" si="23"/>
        <v>0.76331360946745563</v>
      </c>
      <c r="DI26" s="508">
        <v>0.78953626634958385</v>
      </c>
      <c r="DJ26" s="509">
        <v>0.98224852071005919</v>
      </c>
      <c r="DK26" s="506">
        <v>1108</v>
      </c>
      <c r="DL26" s="507">
        <v>875</v>
      </c>
      <c r="DM26" s="507">
        <v>701</v>
      </c>
      <c r="DN26" s="507">
        <v>499</v>
      </c>
      <c r="DO26" s="507">
        <v>338</v>
      </c>
      <c r="DP26" s="508">
        <f t="shared" si="24"/>
        <v>0.57028571428571428</v>
      </c>
      <c r="DQ26" s="508">
        <f t="shared" si="25"/>
        <v>0.71184022824536375</v>
      </c>
      <c r="DR26" s="508">
        <v>0.74628571428571433</v>
      </c>
      <c r="DS26" s="509">
        <v>0.93152639087018541</v>
      </c>
      <c r="DT26" s="506">
        <v>1057</v>
      </c>
      <c r="DU26" s="507">
        <v>852</v>
      </c>
      <c r="DV26" s="507">
        <v>638</v>
      </c>
      <c r="DW26" s="507">
        <v>598</v>
      </c>
      <c r="DX26" s="507">
        <v>393</v>
      </c>
      <c r="DY26" s="508">
        <f t="shared" si="26"/>
        <v>0.7018779342723005</v>
      </c>
      <c r="DZ26" s="508">
        <f t="shared" si="27"/>
        <v>0.93730407523510972</v>
      </c>
      <c r="EA26" s="508">
        <v>0.7018779342723005</v>
      </c>
      <c r="EB26" s="509">
        <v>0.93730407523510972</v>
      </c>
    </row>
    <row r="27" spans="1:132" s="2" customFormat="1" x14ac:dyDescent="0.25">
      <c r="A27" s="503" t="s">
        <v>183</v>
      </c>
      <c r="B27" s="504" t="s">
        <v>188</v>
      </c>
      <c r="C27" s="505" t="s">
        <v>189</v>
      </c>
      <c r="D27" s="506">
        <v>1646</v>
      </c>
      <c r="E27" s="507">
        <v>1373</v>
      </c>
      <c r="F27" s="507">
        <v>1373</v>
      </c>
      <c r="G27" s="507">
        <v>1194</v>
      </c>
      <c r="H27" s="507">
        <v>790</v>
      </c>
      <c r="I27" s="508">
        <f t="shared" si="28"/>
        <v>0.86962855061908229</v>
      </c>
      <c r="J27" s="509">
        <f t="shared" si="29"/>
        <v>0.86962855061908229</v>
      </c>
      <c r="K27" s="506">
        <v>1469</v>
      </c>
      <c r="L27" s="507">
        <v>1228</v>
      </c>
      <c r="M27" s="507">
        <v>1228</v>
      </c>
      <c r="N27" s="507">
        <v>1089</v>
      </c>
      <c r="O27" s="507">
        <v>700</v>
      </c>
      <c r="P27" s="508">
        <f t="shared" si="30"/>
        <v>0.8868078175895765</v>
      </c>
      <c r="Q27" s="509">
        <f t="shared" si="31"/>
        <v>0.8868078175895765</v>
      </c>
      <c r="R27" s="506">
        <v>1239</v>
      </c>
      <c r="S27" s="507">
        <v>1022</v>
      </c>
      <c r="T27" s="507">
        <v>1022</v>
      </c>
      <c r="U27" s="507">
        <v>1017</v>
      </c>
      <c r="V27" s="507">
        <v>609</v>
      </c>
      <c r="W27" s="508">
        <f t="shared" si="32"/>
        <v>0.99510763209393349</v>
      </c>
      <c r="X27" s="509">
        <f t="shared" si="33"/>
        <v>0.99510763209393349</v>
      </c>
      <c r="Y27" s="506">
        <v>1162</v>
      </c>
      <c r="Z27" s="507">
        <v>968</v>
      </c>
      <c r="AA27" s="507">
        <v>968</v>
      </c>
      <c r="AB27" s="507">
        <v>940</v>
      </c>
      <c r="AC27" s="507">
        <v>620</v>
      </c>
      <c r="AD27" s="508">
        <f t="shared" si="0"/>
        <v>0.97107438016528924</v>
      </c>
      <c r="AE27" s="509">
        <f t="shared" si="1"/>
        <v>0.97107438016528924</v>
      </c>
      <c r="AF27" s="506">
        <v>966</v>
      </c>
      <c r="AG27" s="507">
        <v>805</v>
      </c>
      <c r="AH27" s="507">
        <v>805</v>
      </c>
      <c r="AI27" s="507">
        <v>717</v>
      </c>
      <c r="AJ27" s="507">
        <v>465</v>
      </c>
      <c r="AK27" s="508">
        <f t="shared" si="2"/>
        <v>0.89068322981366455</v>
      </c>
      <c r="AL27" s="509">
        <f t="shared" si="3"/>
        <v>0.89068322981366455</v>
      </c>
      <c r="AM27" s="506">
        <v>857</v>
      </c>
      <c r="AN27" s="507">
        <v>699</v>
      </c>
      <c r="AO27" s="507">
        <v>699</v>
      </c>
      <c r="AP27" s="507">
        <v>402</v>
      </c>
      <c r="AQ27" s="507">
        <v>391</v>
      </c>
      <c r="AR27" s="508">
        <f t="shared" si="4"/>
        <v>0.57510729613733902</v>
      </c>
      <c r="AS27" s="509">
        <f t="shared" si="5"/>
        <v>0.57510729613733902</v>
      </c>
      <c r="AT27" s="506">
        <v>754</v>
      </c>
      <c r="AU27" s="507">
        <v>625</v>
      </c>
      <c r="AV27" s="507">
        <v>625</v>
      </c>
      <c r="AW27" s="507">
        <v>438</v>
      </c>
      <c r="AX27" s="507">
        <v>346</v>
      </c>
      <c r="AY27" s="508">
        <f t="shared" si="6"/>
        <v>0.70079999999999998</v>
      </c>
      <c r="AZ27" s="509">
        <f t="shared" si="7"/>
        <v>0.70079999999999998</v>
      </c>
      <c r="BA27" s="506">
        <v>712</v>
      </c>
      <c r="BB27" s="507">
        <v>613</v>
      </c>
      <c r="BC27" s="507">
        <v>613</v>
      </c>
      <c r="BD27" s="507">
        <v>498</v>
      </c>
      <c r="BE27" s="507">
        <v>411</v>
      </c>
      <c r="BF27" s="508">
        <f t="shared" si="8"/>
        <v>0.81239804241435565</v>
      </c>
      <c r="BG27" s="509">
        <f t="shared" si="9"/>
        <v>0.81239804241435565</v>
      </c>
      <c r="BH27" s="506">
        <v>631</v>
      </c>
      <c r="BI27" s="507">
        <v>536</v>
      </c>
      <c r="BJ27" s="507">
        <v>536</v>
      </c>
      <c r="BK27" s="507">
        <v>426</v>
      </c>
      <c r="BL27" s="507">
        <v>339</v>
      </c>
      <c r="BM27" s="508">
        <f t="shared" si="10"/>
        <v>0.79477611940298509</v>
      </c>
      <c r="BN27" s="509">
        <f t="shared" si="11"/>
        <v>0.79477611940298509</v>
      </c>
      <c r="BO27" s="506">
        <v>541</v>
      </c>
      <c r="BP27" s="507">
        <v>475</v>
      </c>
      <c r="BQ27" s="507">
        <v>475</v>
      </c>
      <c r="BR27" s="507">
        <v>375</v>
      </c>
      <c r="BS27" s="507">
        <v>302</v>
      </c>
      <c r="BT27" s="508">
        <f t="shared" si="12"/>
        <v>0.78947368421052633</v>
      </c>
      <c r="BU27" s="509">
        <f t="shared" si="13"/>
        <v>0.78947368421052633</v>
      </c>
      <c r="BV27" s="506">
        <v>513</v>
      </c>
      <c r="BW27" s="507">
        <v>439</v>
      </c>
      <c r="BX27" s="507">
        <v>439</v>
      </c>
      <c r="BY27" s="507">
        <v>337</v>
      </c>
      <c r="BZ27" s="507">
        <v>288</v>
      </c>
      <c r="CA27" s="508">
        <f t="shared" si="14"/>
        <v>0.76765375854214124</v>
      </c>
      <c r="CB27" s="509">
        <f t="shared" si="15"/>
        <v>0.76765375854214124</v>
      </c>
      <c r="CC27" s="506">
        <v>493</v>
      </c>
      <c r="CD27" s="507">
        <v>427</v>
      </c>
      <c r="CE27" s="507">
        <v>427</v>
      </c>
      <c r="CF27" s="507">
        <v>427</v>
      </c>
      <c r="CG27" s="507">
        <v>297</v>
      </c>
      <c r="CH27" s="508">
        <f t="shared" si="16"/>
        <v>1</v>
      </c>
      <c r="CI27" s="509">
        <f t="shared" si="17"/>
        <v>1</v>
      </c>
      <c r="CJ27" s="506">
        <v>586</v>
      </c>
      <c r="CK27" s="507">
        <v>509</v>
      </c>
      <c r="CL27" s="507">
        <v>509</v>
      </c>
      <c r="CM27" s="507">
        <v>509</v>
      </c>
      <c r="CN27" s="507">
        <v>352</v>
      </c>
      <c r="CO27" s="508">
        <f t="shared" si="18"/>
        <v>1</v>
      </c>
      <c r="CP27" s="508">
        <f t="shared" si="19"/>
        <v>1</v>
      </c>
      <c r="CQ27" s="508">
        <v>1</v>
      </c>
      <c r="CR27" s="509">
        <v>1</v>
      </c>
      <c r="CS27" s="506">
        <v>725</v>
      </c>
      <c r="CT27" s="507">
        <v>613</v>
      </c>
      <c r="CU27" s="507">
        <v>613</v>
      </c>
      <c r="CV27" s="507">
        <v>613</v>
      </c>
      <c r="CW27" s="507">
        <v>398</v>
      </c>
      <c r="CX27" s="508">
        <f t="shared" si="20"/>
        <v>1</v>
      </c>
      <c r="CY27" s="508">
        <f t="shared" si="21"/>
        <v>1</v>
      </c>
      <c r="CZ27" s="508">
        <v>1</v>
      </c>
      <c r="DA27" s="509">
        <v>1</v>
      </c>
      <c r="DB27" s="506">
        <v>669</v>
      </c>
      <c r="DC27" s="507">
        <v>570</v>
      </c>
      <c r="DD27" s="507">
        <v>570</v>
      </c>
      <c r="DE27" s="507">
        <v>570</v>
      </c>
      <c r="DF27" s="507">
        <v>330</v>
      </c>
      <c r="DG27" s="508">
        <f t="shared" si="22"/>
        <v>1</v>
      </c>
      <c r="DH27" s="508">
        <f t="shared" si="23"/>
        <v>1</v>
      </c>
      <c r="DI27" s="508">
        <v>1</v>
      </c>
      <c r="DJ27" s="509">
        <v>1</v>
      </c>
      <c r="DK27" s="506">
        <v>698</v>
      </c>
      <c r="DL27" s="507">
        <v>609</v>
      </c>
      <c r="DM27" s="507">
        <v>609</v>
      </c>
      <c r="DN27" s="507">
        <v>609</v>
      </c>
      <c r="DO27" s="507">
        <v>326</v>
      </c>
      <c r="DP27" s="508">
        <f t="shared" si="24"/>
        <v>1</v>
      </c>
      <c r="DQ27" s="508">
        <f t="shared" si="25"/>
        <v>1</v>
      </c>
      <c r="DR27" s="508">
        <v>1</v>
      </c>
      <c r="DS27" s="509">
        <v>1</v>
      </c>
      <c r="DT27" s="506">
        <v>695</v>
      </c>
      <c r="DU27" s="507">
        <v>596</v>
      </c>
      <c r="DV27" s="507">
        <v>596</v>
      </c>
      <c r="DW27" s="507">
        <v>481</v>
      </c>
      <c r="DX27" s="507">
        <v>337</v>
      </c>
      <c r="DY27" s="508">
        <f t="shared" si="26"/>
        <v>0.80704697986577179</v>
      </c>
      <c r="DZ27" s="508">
        <f t="shared" si="27"/>
        <v>0.80704697986577179</v>
      </c>
      <c r="EA27" s="508">
        <v>0.98322147651006708</v>
      </c>
      <c r="EB27" s="509">
        <v>0.98322147651006708</v>
      </c>
    </row>
    <row r="28" spans="1:132" s="2" customFormat="1" x14ac:dyDescent="0.25">
      <c r="A28" s="503" t="s">
        <v>183</v>
      </c>
      <c r="B28" s="504" t="s">
        <v>190</v>
      </c>
      <c r="C28" s="505" t="s">
        <v>191</v>
      </c>
      <c r="D28" s="506">
        <v>670</v>
      </c>
      <c r="E28" s="507">
        <v>613</v>
      </c>
      <c r="F28" s="507">
        <v>526</v>
      </c>
      <c r="G28" s="507">
        <v>298</v>
      </c>
      <c r="H28" s="507">
        <v>245</v>
      </c>
      <c r="I28" s="508">
        <f t="shared" si="28"/>
        <v>0.48613376835236544</v>
      </c>
      <c r="J28" s="509">
        <f t="shared" si="29"/>
        <v>0.56653992395437258</v>
      </c>
      <c r="K28" s="506">
        <v>549</v>
      </c>
      <c r="L28" s="507">
        <v>501</v>
      </c>
      <c r="M28" s="507">
        <v>423</v>
      </c>
      <c r="N28" s="507">
        <v>272</v>
      </c>
      <c r="O28" s="507">
        <v>223</v>
      </c>
      <c r="P28" s="508">
        <f t="shared" si="30"/>
        <v>0.54291417165668665</v>
      </c>
      <c r="Q28" s="509">
        <f t="shared" si="31"/>
        <v>0.64302600472813243</v>
      </c>
      <c r="R28" s="506">
        <v>571</v>
      </c>
      <c r="S28" s="507">
        <v>507</v>
      </c>
      <c r="T28" s="507">
        <v>435</v>
      </c>
      <c r="U28" s="507">
        <v>288</v>
      </c>
      <c r="V28" s="507">
        <v>221</v>
      </c>
      <c r="W28" s="508">
        <f t="shared" si="32"/>
        <v>0.56804733727810652</v>
      </c>
      <c r="X28" s="509">
        <f t="shared" si="33"/>
        <v>0.66206896551724137</v>
      </c>
      <c r="Y28" s="506">
        <v>616</v>
      </c>
      <c r="Z28" s="507">
        <v>563</v>
      </c>
      <c r="AA28" s="507">
        <v>466</v>
      </c>
      <c r="AB28" s="507">
        <v>304</v>
      </c>
      <c r="AC28" s="507">
        <v>248</v>
      </c>
      <c r="AD28" s="508">
        <f t="shared" si="0"/>
        <v>0.53996447602131437</v>
      </c>
      <c r="AE28" s="509">
        <f t="shared" si="1"/>
        <v>0.6523605150214592</v>
      </c>
      <c r="AF28" s="506">
        <v>584</v>
      </c>
      <c r="AG28" s="507">
        <v>530</v>
      </c>
      <c r="AH28" s="507">
        <v>438</v>
      </c>
      <c r="AI28" s="507">
        <v>278</v>
      </c>
      <c r="AJ28" s="507">
        <v>229</v>
      </c>
      <c r="AK28" s="508">
        <f t="shared" si="2"/>
        <v>0.52452830188679245</v>
      </c>
      <c r="AL28" s="509">
        <f t="shared" si="3"/>
        <v>0.63470319634703198</v>
      </c>
      <c r="AM28" s="506">
        <v>510</v>
      </c>
      <c r="AN28" s="507">
        <v>474</v>
      </c>
      <c r="AO28" s="507">
        <v>361</v>
      </c>
      <c r="AP28" s="507">
        <v>246</v>
      </c>
      <c r="AQ28" s="507">
        <v>194</v>
      </c>
      <c r="AR28" s="508">
        <f t="shared" si="4"/>
        <v>0.51898734177215189</v>
      </c>
      <c r="AS28" s="509">
        <f t="shared" si="5"/>
        <v>0.68144044321329644</v>
      </c>
      <c r="AT28" s="506">
        <v>500</v>
      </c>
      <c r="AU28" s="507">
        <v>464</v>
      </c>
      <c r="AV28" s="507">
        <v>366</v>
      </c>
      <c r="AW28" s="507">
        <v>279</v>
      </c>
      <c r="AX28" s="507">
        <v>220</v>
      </c>
      <c r="AY28" s="508">
        <f t="shared" si="6"/>
        <v>0.60129310344827591</v>
      </c>
      <c r="AZ28" s="509">
        <f t="shared" si="7"/>
        <v>0.76229508196721307</v>
      </c>
      <c r="BA28" s="506">
        <v>441</v>
      </c>
      <c r="BB28" s="507">
        <v>413</v>
      </c>
      <c r="BC28" s="507">
        <v>313</v>
      </c>
      <c r="BD28" s="507">
        <v>262</v>
      </c>
      <c r="BE28" s="507">
        <v>207</v>
      </c>
      <c r="BF28" s="508">
        <f t="shared" si="8"/>
        <v>0.63438256658595638</v>
      </c>
      <c r="BG28" s="509">
        <f t="shared" si="9"/>
        <v>0.83706070287539935</v>
      </c>
      <c r="BH28" s="506">
        <v>490</v>
      </c>
      <c r="BI28" s="507">
        <v>445</v>
      </c>
      <c r="BJ28" s="507">
        <v>359</v>
      </c>
      <c r="BK28" s="507">
        <v>300</v>
      </c>
      <c r="BL28" s="507">
        <v>230</v>
      </c>
      <c r="BM28" s="508">
        <f t="shared" si="10"/>
        <v>0.6741573033707865</v>
      </c>
      <c r="BN28" s="509">
        <f t="shared" si="11"/>
        <v>0.83565459610027859</v>
      </c>
      <c r="BO28" s="506">
        <v>451</v>
      </c>
      <c r="BP28" s="507">
        <v>408</v>
      </c>
      <c r="BQ28" s="507">
        <v>332</v>
      </c>
      <c r="BR28" s="507">
        <v>301</v>
      </c>
      <c r="BS28" s="507">
        <v>231</v>
      </c>
      <c r="BT28" s="508">
        <f t="shared" si="12"/>
        <v>0.73774509803921573</v>
      </c>
      <c r="BU28" s="509">
        <f t="shared" si="13"/>
        <v>0.90662650602409633</v>
      </c>
      <c r="BV28" s="506">
        <v>397</v>
      </c>
      <c r="BW28" s="507">
        <v>368</v>
      </c>
      <c r="BX28" s="507">
        <v>289</v>
      </c>
      <c r="BY28" s="507">
        <v>253</v>
      </c>
      <c r="BZ28" s="507">
        <v>199</v>
      </c>
      <c r="CA28" s="508">
        <f t="shared" si="14"/>
        <v>0.6875</v>
      </c>
      <c r="CB28" s="509">
        <f t="shared" si="15"/>
        <v>0.87543252595155707</v>
      </c>
      <c r="CC28" s="506">
        <v>493</v>
      </c>
      <c r="CD28" s="507">
        <v>454</v>
      </c>
      <c r="CE28" s="507">
        <v>454</v>
      </c>
      <c r="CF28" s="507">
        <v>454</v>
      </c>
      <c r="CG28" s="507">
        <v>286</v>
      </c>
      <c r="CH28" s="508">
        <f t="shared" si="16"/>
        <v>1</v>
      </c>
      <c r="CI28" s="509">
        <f t="shared" si="17"/>
        <v>1</v>
      </c>
      <c r="CJ28" s="506">
        <v>531</v>
      </c>
      <c r="CK28" s="507">
        <v>484</v>
      </c>
      <c r="CL28" s="507">
        <v>440</v>
      </c>
      <c r="CM28" s="507">
        <v>321</v>
      </c>
      <c r="CN28" s="507">
        <v>211</v>
      </c>
      <c r="CO28" s="508">
        <f t="shared" si="18"/>
        <v>0.66322314049586772</v>
      </c>
      <c r="CP28" s="508">
        <f t="shared" si="19"/>
        <v>0.7295454545454545</v>
      </c>
      <c r="CQ28" s="508">
        <v>0.66322314049586772</v>
      </c>
      <c r="CR28" s="509">
        <v>0.7295454545454545</v>
      </c>
      <c r="CS28" s="506">
        <v>666</v>
      </c>
      <c r="CT28" s="507">
        <v>596</v>
      </c>
      <c r="CU28" s="507">
        <v>490</v>
      </c>
      <c r="CV28" s="507">
        <v>403</v>
      </c>
      <c r="CW28" s="507">
        <v>275</v>
      </c>
      <c r="CX28" s="508">
        <f t="shared" si="20"/>
        <v>0.6761744966442953</v>
      </c>
      <c r="CY28" s="508">
        <f t="shared" si="21"/>
        <v>0.82244897959183672</v>
      </c>
      <c r="CZ28" s="508">
        <v>0.6761744966442953</v>
      </c>
      <c r="DA28" s="509">
        <v>0.82244897959183672</v>
      </c>
      <c r="DB28" s="506">
        <v>681</v>
      </c>
      <c r="DC28" s="507">
        <v>589</v>
      </c>
      <c r="DD28" s="507">
        <v>483</v>
      </c>
      <c r="DE28" s="507">
        <v>407</v>
      </c>
      <c r="DF28" s="507">
        <v>256</v>
      </c>
      <c r="DG28" s="508">
        <f t="shared" si="22"/>
        <v>0.69100169779286924</v>
      </c>
      <c r="DH28" s="508">
        <f t="shared" si="23"/>
        <v>0.84265010351966874</v>
      </c>
      <c r="DI28" s="508">
        <v>0.69100169779286924</v>
      </c>
      <c r="DJ28" s="509">
        <v>0.84265010351966874</v>
      </c>
      <c r="DK28" s="506">
        <v>635</v>
      </c>
      <c r="DL28" s="507">
        <v>572</v>
      </c>
      <c r="DM28" s="507">
        <v>502</v>
      </c>
      <c r="DN28" s="507">
        <v>346</v>
      </c>
      <c r="DO28" s="507">
        <v>266</v>
      </c>
      <c r="DP28" s="508">
        <f t="shared" si="24"/>
        <v>0.6048951048951049</v>
      </c>
      <c r="DQ28" s="508">
        <f t="shared" si="25"/>
        <v>0.68924302788844627</v>
      </c>
      <c r="DR28" s="508">
        <v>0.75699300699300698</v>
      </c>
      <c r="DS28" s="509">
        <v>0.86254980079681276</v>
      </c>
      <c r="DT28" s="506">
        <v>688</v>
      </c>
      <c r="DU28" s="507">
        <v>614</v>
      </c>
      <c r="DV28" s="507">
        <v>529</v>
      </c>
      <c r="DW28" s="507">
        <v>345</v>
      </c>
      <c r="DX28" s="507">
        <v>260</v>
      </c>
      <c r="DY28" s="508">
        <f t="shared" si="26"/>
        <v>0.56188925081433228</v>
      </c>
      <c r="DZ28" s="508">
        <f t="shared" si="27"/>
        <v>0.65217391304347827</v>
      </c>
      <c r="EA28" s="508">
        <v>0.70684039087947881</v>
      </c>
      <c r="EB28" s="509">
        <v>0.82041587901701318</v>
      </c>
    </row>
    <row r="29" spans="1:132" s="2" customFormat="1" x14ac:dyDescent="0.25">
      <c r="A29" s="503" t="s">
        <v>183</v>
      </c>
      <c r="B29" s="504" t="s">
        <v>192</v>
      </c>
      <c r="C29" s="505" t="s">
        <v>176</v>
      </c>
      <c r="D29" s="506">
        <v>931</v>
      </c>
      <c r="E29" s="507">
        <v>795</v>
      </c>
      <c r="F29" s="507">
        <v>726</v>
      </c>
      <c r="G29" s="507">
        <v>479</v>
      </c>
      <c r="H29" s="507">
        <v>284</v>
      </c>
      <c r="I29" s="508">
        <f t="shared" si="28"/>
        <v>0.60251572327044023</v>
      </c>
      <c r="J29" s="509">
        <f t="shared" si="29"/>
        <v>0.65977961432506882</v>
      </c>
      <c r="K29" s="506">
        <v>858</v>
      </c>
      <c r="L29" s="507">
        <v>748</v>
      </c>
      <c r="M29" s="507">
        <v>693</v>
      </c>
      <c r="N29" s="507">
        <v>499</v>
      </c>
      <c r="O29" s="507">
        <v>296</v>
      </c>
      <c r="P29" s="508">
        <f t="shared" si="30"/>
        <v>0.66711229946524064</v>
      </c>
      <c r="Q29" s="509">
        <f t="shared" si="31"/>
        <v>0.72005772005772006</v>
      </c>
      <c r="R29" s="506">
        <v>731</v>
      </c>
      <c r="S29" s="507">
        <v>631</v>
      </c>
      <c r="T29" s="507">
        <v>602</v>
      </c>
      <c r="U29" s="507">
        <v>415</v>
      </c>
      <c r="V29" s="507">
        <v>286</v>
      </c>
      <c r="W29" s="508">
        <f t="shared" si="32"/>
        <v>0.65768621236133118</v>
      </c>
      <c r="X29" s="509">
        <f t="shared" si="33"/>
        <v>0.68936877076411962</v>
      </c>
      <c r="Y29" s="506">
        <v>613</v>
      </c>
      <c r="Z29" s="507">
        <v>541</v>
      </c>
      <c r="AA29" s="507">
        <v>486</v>
      </c>
      <c r="AB29" s="507">
        <v>360</v>
      </c>
      <c r="AC29" s="507">
        <v>259</v>
      </c>
      <c r="AD29" s="508">
        <f t="shared" si="0"/>
        <v>0.6654343807763401</v>
      </c>
      <c r="AE29" s="509">
        <f t="shared" si="1"/>
        <v>0.7407407407407407</v>
      </c>
      <c r="AF29" s="506">
        <v>659</v>
      </c>
      <c r="AG29" s="507">
        <v>565</v>
      </c>
      <c r="AH29" s="507">
        <v>553</v>
      </c>
      <c r="AI29" s="507">
        <v>401</v>
      </c>
      <c r="AJ29" s="507">
        <v>251</v>
      </c>
      <c r="AK29" s="508">
        <f t="shared" si="2"/>
        <v>0.70973451327433623</v>
      </c>
      <c r="AL29" s="509">
        <f t="shared" si="3"/>
        <v>0.72513562386980113</v>
      </c>
      <c r="AM29" s="506">
        <v>592</v>
      </c>
      <c r="AN29" s="507">
        <v>520</v>
      </c>
      <c r="AO29" s="507">
        <v>503</v>
      </c>
      <c r="AP29" s="507">
        <v>381</v>
      </c>
      <c r="AQ29" s="507">
        <v>231</v>
      </c>
      <c r="AR29" s="508">
        <f t="shared" si="4"/>
        <v>0.73269230769230764</v>
      </c>
      <c r="AS29" s="509">
        <f t="shared" si="5"/>
        <v>0.75745526838966204</v>
      </c>
      <c r="AT29" s="506">
        <v>656</v>
      </c>
      <c r="AU29" s="507">
        <v>558</v>
      </c>
      <c r="AV29" s="507">
        <v>547</v>
      </c>
      <c r="AW29" s="507">
        <v>384</v>
      </c>
      <c r="AX29" s="507">
        <v>241</v>
      </c>
      <c r="AY29" s="508">
        <f t="shared" si="6"/>
        <v>0.68817204301075274</v>
      </c>
      <c r="AZ29" s="509">
        <f t="shared" si="7"/>
        <v>0.70201096892138937</v>
      </c>
      <c r="BA29" s="506">
        <v>625</v>
      </c>
      <c r="BB29" s="507">
        <v>538</v>
      </c>
      <c r="BC29" s="507">
        <v>536</v>
      </c>
      <c r="BD29" s="507">
        <v>345</v>
      </c>
      <c r="BE29" s="507">
        <v>196</v>
      </c>
      <c r="BF29" s="508">
        <f t="shared" si="8"/>
        <v>0.64126394052044611</v>
      </c>
      <c r="BG29" s="509">
        <f t="shared" si="9"/>
        <v>0.64365671641791045</v>
      </c>
      <c r="BH29" s="506">
        <v>559</v>
      </c>
      <c r="BI29" s="507">
        <v>470</v>
      </c>
      <c r="BJ29" s="507">
        <v>460</v>
      </c>
      <c r="BK29" s="507">
        <v>347</v>
      </c>
      <c r="BL29" s="507">
        <v>208</v>
      </c>
      <c r="BM29" s="508">
        <f t="shared" si="10"/>
        <v>0.73829787234042554</v>
      </c>
      <c r="BN29" s="509">
        <f t="shared" si="11"/>
        <v>0.7543478260869565</v>
      </c>
      <c r="BO29" s="506">
        <v>470</v>
      </c>
      <c r="BP29" s="507">
        <v>420</v>
      </c>
      <c r="BQ29" s="507">
        <v>418</v>
      </c>
      <c r="BR29" s="507">
        <v>306</v>
      </c>
      <c r="BS29" s="507">
        <v>168</v>
      </c>
      <c r="BT29" s="508">
        <f t="shared" si="12"/>
        <v>0.72857142857142854</v>
      </c>
      <c r="BU29" s="509">
        <f t="shared" si="13"/>
        <v>0.73205741626794263</v>
      </c>
      <c r="BV29" s="506">
        <v>501</v>
      </c>
      <c r="BW29" s="507">
        <v>442</v>
      </c>
      <c r="BX29" s="507">
        <v>438</v>
      </c>
      <c r="BY29" s="507">
        <v>324</v>
      </c>
      <c r="BZ29" s="507">
        <v>180</v>
      </c>
      <c r="CA29" s="508">
        <f t="shared" si="14"/>
        <v>0.73303167420814475</v>
      </c>
      <c r="CB29" s="509">
        <f t="shared" si="15"/>
        <v>0.73972602739726023</v>
      </c>
      <c r="CC29" s="506">
        <v>482</v>
      </c>
      <c r="CD29" s="507">
        <v>397</v>
      </c>
      <c r="CE29" s="507">
        <v>385</v>
      </c>
      <c r="CF29" s="507">
        <v>348</v>
      </c>
      <c r="CG29" s="507">
        <v>160</v>
      </c>
      <c r="CH29" s="508">
        <f t="shared" si="16"/>
        <v>0.87657430730478592</v>
      </c>
      <c r="CI29" s="509">
        <f t="shared" si="17"/>
        <v>0.90389610389610386</v>
      </c>
      <c r="CJ29" s="506">
        <v>599</v>
      </c>
      <c r="CK29" s="507">
        <v>479</v>
      </c>
      <c r="CL29" s="507">
        <v>474</v>
      </c>
      <c r="CM29" s="507">
        <v>408</v>
      </c>
      <c r="CN29" s="507">
        <v>176</v>
      </c>
      <c r="CO29" s="508">
        <f t="shared" si="18"/>
        <v>0.85177453027139871</v>
      </c>
      <c r="CP29" s="508">
        <f t="shared" si="19"/>
        <v>0.86075949367088611</v>
      </c>
      <c r="CQ29" s="508">
        <v>0.85177453027139871</v>
      </c>
      <c r="CR29" s="509">
        <v>0.86075949367088611</v>
      </c>
      <c r="CS29" s="506">
        <v>585</v>
      </c>
      <c r="CT29" s="507">
        <v>484</v>
      </c>
      <c r="CU29" s="507">
        <v>473</v>
      </c>
      <c r="CV29" s="507">
        <v>323</v>
      </c>
      <c r="CW29" s="507">
        <v>185</v>
      </c>
      <c r="CX29" s="508">
        <f t="shared" si="20"/>
        <v>0.6673553719008265</v>
      </c>
      <c r="CY29" s="508">
        <f t="shared" si="21"/>
        <v>0.68287526427061307</v>
      </c>
      <c r="CZ29" s="508">
        <v>0.91115702479338845</v>
      </c>
      <c r="DA29" s="509">
        <v>0.93234672304439747</v>
      </c>
      <c r="DB29" s="506">
        <v>618</v>
      </c>
      <c r="DC29" s="507">
        <v>521</v>
      </c>
      <c r="DD29" s="507">
        <v>410</v>
      </c>
      <c r="DE29" s="507">
        <v>315</v>
      </c>
      <c r="DF29" s="507">
        <v>214</v>
      </c>
      <c r="DG29" s="508">
        <f t="shared" si="22"/>
        <v>0.60460652591170827</v>
      </c>
      <c r="DH29" s="508">
        <f t="shared" si="23"/>
        <v>0.76829268292682928</v>
      </c>
      <c r="DI29" s="508">
        <v>0.68138195777351251</v>
      </c>
      <c r="DJ29" s="509">
        <v>0.86585365853658536</v>
      </c>
      <c r="DK29" s="506">
        <v>645</v>
      </c>
      <c r="DL29" s="507">
        <v>533</v>
      </c>
      <c r="DM29" s="507">
        <v>441</v>
      </c>
      <c r="DN29" s="507">
        <v>292</v>
      </c>
      <c r="DO29" s="507">
        <v>209</v>
      </c>
      <c r="DP29" s="508">
        <f t="shared" si="24"/>
        <v>0.5478424015009381</v>
      </c>
      <c r="DQ29" s="508">
        <f t="shared" si="25"/>
        <v>0.66213151927437641</v>
      </c>
      <c r="DR29" s="508">
        <v>0.59287054409005624</v>
      </c>
      <c r="DS29" s="509">
        <v>0.71655328798185947</v>
      </c>
      <c r="DT29" s="506">
        <v>809</v>
      </c>
      <c r="DU29" s="507">
        <v>668</v>
      </c>
      <c r="DV29" s="507">
        <v>483</v>
      </c>
      <c r="DW29" s="507">
        <v>366</v>
      </c>
      <c r="DX29" s="507">
        <v>248</v>
      </c>
      <c r="DY29" s="508">
        <f t="shared" si="26"/>
        <v>0.54790419161676651</v>
      </c>
      <c r="DZ29" s="508">
        <f t="shared" si="27"/>
        <v>0.75776397515527949</v>
      </c>
      <c r="EA29" s="508">
        <v>0.6272455089820359</v>
      </c>
      <c r="EB29" s="509">
        <v>0.86749482401656319</v>
      </c>
    </row>
    <row r="30" spans="1:132" s="2" customFormat="1" x14ac:dyDescent="0.25">
      <c r="A30" s="503" t="s">
        <v>183</v>
      </c>
      <c r="B30" s="504" t="s">
        <v>193</v>
      </c>
      <c r="C30" s="505" t="s">
        <v>180</v>
      </c>
      <c r="D30" s="506">
        <v>3643</v>
      </c>
      <c r="E30" s="507">
        <v>3042</v>
      </c>
      <c r="F30" s="507">
        <v>2691</v>
      </c>
      <c r="G30" s="507">
        <v>1510</v>
      </c>
      <c r="H30" s="507">
        <v>1026</v>
      </c>
      <c r="I30" s="508">
        <f t="shared" si="28"/>
        <v>0.49638395792241946</v>
      </c>
      <c r="J30" s="509">
        <f t="shared" si="29"/>
        <v>0.56112969156447412</v>
      </c>
      <c r="K30" s="506">
        <v>3738</v>
      </c>
      <c r="L30" s="507">
        <v>3106</v>
      </c>
      <c r="M30" s="507">
        <v>2731</v>
      </c>
      <c r="N30" s="507">
        <v>1761</v>
      </c>
      <c r="O30" s="507">
        <v>1171</v>
      </c>
      <c r="P30" s="508">
        <f t="shared" si="30"/>
        <v>0.56696716033483585</v>
      </c>
      <c r="Q30" s="509">
        <f t="shared" si="31"/>
        <v>0.64481874771146097</v>
      </c>
      <c r="R30" s="506">
        <v>3963</v>
      </c>
      <c r="S30" s="507">
        <v>3243</v>
      </c>
      <c r="T30" s="507">
        <v>2779</v>
      </c>
      <c r="U30" s="507">
        <v>1737</v>
      </c>
      <c r="V30" s="507">
        <v>1208</v>
      </c>
      <c r="W30" s="508">
        <f t="shared" si="32"/>
        <v>0.5356151711378353</v>
      </c>
      <c r="X30" s="509">
        <f t="shared" si="33"/>
        <v>0.62504498020870813</v>
      </c>
      <c r="Y30" s="506">
        <v>3695</v>
      </c>
      <c r="Z30" s="507">
        <v>3032</v>
      </c>
      <c r="AA30" s="507">
        <v>2702</v>
      </c>
      <c r="AB30" s="507">
        <v>1603</v>
      </c>
      <c r="AC30" s="507">
        <v>1071</v>
      </c>
      <c r="AD30" s="508">
        <f t="shared" si="0"/>
        <v>0.52869393139841692</v>
      </c>
      <c r="AE30" s="509">
        <f t="shared" si="1"/>
        <v>0.59326424870466321</v>
      </c>
      <c r="AF30" s="506">
        <v>3017</v>
      </c>
      <c r="AG30" s="507">
        <v>2440</v>
      </c>
      <c r="AH30" s="507">
        <v>2106</v>
      </c>
      <c r="AI30" s="507">
        <v>1132</v>
      </c>
      <c r="AJ30" s="507">
        <v>825</v>
      </c>
      <c r="AK30" s="508">
        <f t="shared" si="2"/>
        <v>0.4639344262295082</v>
      </c>
      <c r="AL30" s="509">
        <f t="shared" si="3"/>
        <v>0.53751187084520413</v>
      </c>
      <c r="AM30" s="506">
        <v>3524</v>
      </c>
      <c r="AN30" s="507">
        <v>2887</v>
      </c>
      <c r="AO30" s="507">
        <v>2451</v>
      </c>
      <c r="AP30" s="507">
        <v>1123</v>
      </c>
      <c r="AQ30" s="507">
        <v>828</v>
      </c>
      <c r="AR30" s="508">
        <f t="shared" si="4"/>
        <v>0.38898510564599931</v>
      </c>
      <c r="AS30" s="509">
        <f t="shared" si="5"/>
        <v>0.45818033455732354</v>
      </c>
      <c r="AT30" s="506">
        <v>3123</v>
      </c>
      <c r="AU30" s="507">
        <v>2457</v>
      </c>
      <c r="AV30" s="507">
        <v>1987</v>
      </c>
      <c r="AW30" s="507">
        <v>944</v>
      </c>
      <c r="AX30" s="507">
        <v>633</v>
      </c>
      <c r="AY30" s="508">
        <f t="shared" si="6"/>
        <v>0.38420838420838421</v>
      </c>
      <c r="AZ30" s="509">
        <f t="shared" si="7"/>
        <v>0.47508807247106188</v>
      </c>
      <c r="BA30" s="506">
        <v>2617</v>
      </c>
      <c r="BB30" s="507">
        <v>2105</v>
      </c>
      <c r="BC30" s="507">
        <v>1701</v>
      </c>
      <c r="BD30" s="507">
        <v>864</v>
      </c>
      <c r="BE30" s="507">
        <v>616</v>
      </c>
      <c r="BF30" s="508">
        <f t="shared" si="8"/>
        <v>0.41045130641330169</v>
      </c>
      <c r="BG30" s="509">
        <f t="shared" si="9"/>
        <v>0.50793650793650791</v>
      </c>
      <c r="BH30" s="506">
        <v>2443</v>
      </c>
      <c r="BI30" s="507">
        <v>1999</v>
      </c>
      <c r="BJ30" s="507">
        <v>1596</v>
      </c>
      <c r="BK30" s="507">
        <v>892</v>
      </c>
      <c r="BL30" s="507">
        <v>585</v>
      </c>
      <c r="BM30" s="508">
        <f t="shared" si="10"/>
        <v>0.44622311155577787</v>
      </c>
      <c r="BN30" s="509">
        <f t="shared" si="11"/>
        <v>0.55889724310776945</v>
      </c>
      <c r="BO30" s="506">
        <v>2428</v>
      </c>
      <c r="BP30" s="507">
        <v>1912</v>
      </c>
      <c r="BQ30" s="507">
        <v>1519</v>
      </c>
      <c r="BR30" s="507">
        <v>887</v>
      </c>
      <c r="BS30" s="507">
        <v>628</v>
      </c>
      <c r="BT30" s="508">
        <f t="shared" si="12"/>
        <v>0.46391213389121339</v>
      </c>
      <c r="BU30" s="509">
        <f t="shared" si="13"/>
        <v>0.5839368005266623</v>
      </c>
      <c r="BV30" s="506">
        <v>2509</v>
      </c>
      <c r="BW30" s="507">
        <v>1972</v>
      </c>
      <c r="BX30" s="507">
        <v>1601</v>
      </c>
      <c r="BY30" s="507">
        <v>958</v>
      </c>
      <c r="BZ30" s="507">
        <v>673</v>
      </c>
      <c r="CA30" s="508">
        <f t="shared" si="14"/>
        <v>0.48580121703853957</v>
      </c>
      <c r="CB30" s="509">
        <f t="shared" si="15"/>
        <v>0.59837601499063087</v>
      </c>
      <c r="CC30" s="506">
        <v>2391</v>
      </c>
      <c r="CD30" s="507">
        <v>1950</v>
      </c>
      <c r="CE30" s="507">
        <v>1556</v>
      </c>
      <c r="CF30" s="507">
        <v>998</v>
      </c>
      <c r="CG30" s="507">
        <v>680</v>
      </c>
      <c r="CH30" s="508">
        <f t="shared" si="16"/>
        <v>0.51179487179487182</v>
      </c>
      <c r="CI30" s="509">
        <f t="shared" si="17"/>
        <v>0.6413881748071979</v>
      </c>
      <c r="CJ30" s="506">
        <v>2183</v>
      </c>
      <c r="CK30" s="507">
        <v>1749</v>
      </c>
      <c r="CL30" s="507">
        <v>1403</v>
      </c>
      <c r="CM30" s="507">
        <v>691</v>
      </c>
      <c r="CN30" s="507">
        <v>554</v>
      </c>
      <c r="CO30" s="508">
        <f t="shared" si="18"/>
        <v>0.39508290451686678</v>
      </c>
      <c r="CP30" s="508">
        <f t="shared" si="19"/>
        <v>0.4925160370634355</v>
      </c>
      <c r="CQ30" s="508">
        <v>0.4453973699256718</v>
      </c>
      <c r="CR30" s="509">
        <v>0.55523877405559519</v>
      </c>
      <c r="CS30" s="506">
        <v>2194</v>
      </c>
      <c r="CT30" s="507">
        <v>1776</v>
      </c>
      <c r="CU30" s="507">
        <v>1397</v>
      </c>
      <c r="CV30" s="507">
        <v>676</v>
      </c>
      <c r="CW30" s="507">
        <v>519</v>
      </c>
      <c r="CX30" s="508">
        <f t="shared" si="20"/>
        <v>0.38063063063063063</v>
      </c>
      <c r="CY30" s="508">
        <f t="shared" si="21"/>
        <v>0.48389405869720831</v>
      </c>
      <c r="CZ30" s="508">
        <v>0.38063063063063063</v>
      </c>
      <c r="DA30" s="509">
        <v>0.48389405869720831</v>
      </c>
      <c r="DB30" s="506">
        <v>2566</v>
      </c>
      <c r="DC30" s="507">
        <v>1952</v>
      </c>
      <c r="DD30" s="507">
        <v>1584</v>
      </c>
      <c r="DE30" s="507">
        <v>748</v>
      </c>
      <c r="DF30" s="507">
        <v>495</v>
      </c>
      <c r="DG30" s="508">
        <f t="shared" si="22"/>
        <v>0.38319672131147542</v>
      </c>
      <c r="DH30" s="508">
        <f t="shared" si="23"/>
        <v>0.47222222222222221</v>
      </c>
      <c r="DI30" s="508">
        <v>0.42571721311475408</v>
      </c>
      <c r="DJ30" s="509">
        <v>0.52462121212121215</v>
      </c>
      <c r="DK30" s="506">
        <v>2453</v>
      </c>
      <c r="DL30" s="507">
        <v>1841</v>
      </c>
      <c r="DM30" s="507">
        <v>1411</v>
      </c>
      <c r="DN30" s="507">
        <v>708</v>
      </c>
      <c r="DO30" s="507">
        <v>472</v>
      </c>
      <c r="DP30" s="508">
        <f t="shared" si="24"/>
        <v>0.38457360130363932</v>
      </c>
      <c r="DQ30" s="508">
        <f t="shared" si="25"/>
        <v>0.5017717930545712</v>
      </c>
      <c r="DR30" s="508">
        <v>0.38457360130363932</v>
      </c>
      <c r="DS30" s="509">
        <v>0.5017717930545712</v>
      </c>
      <c r="DT30" s="506">
        <v>2451</v>
      </c>
      <c r="DU30" s="507">
        <v>1910</v>
      </c>
      <c r="DV30" s="507">
        <v>1614</v>
      </c>
      <c r="DW30" s="507">
        <v>837</v>
      </c>
      <c r="DX30" s="507">
        <v>587</v>
      </c>
      <c r="DY30" s="508">
        <f t="shared" si="26"/>
        <v>0.43821989528795813</v>
      </c>
      <c r="DZ30" s="508">
        <f t="shared" si="27"/>
        <v>0.51858736059479549</v>
      </c>
      <c r="EA30" s="508">
        <v>0.43821989528795813</v>
      </c>
      <c r="EB30" s="509">
        <v>0.51858736059479549</v>
      </c>
    </row>
    <row r="31" spans="1:132" s="2" customFormat="1" x14ac:dyDescent="0.25">
      <c r="A31" s="525" t="s">
        <v>183</v>
      </c>
      <c r="B31" s="526" t="s">
        <v>194</v>
      </c>
      <c r="C31" s="527" t="s">
        <v>195</v>
      </c>
      <c r="D31" s="506">
        <v>1723</v>
      </c>
      <c r="E31" s="507">
        <v>1390</v>
      </c>
      <c r="F31" s="507">
        <v>1108</v>
      </c>
      <c r="G31" s="507">
        <v>776</v>
      </c>
      <c r="H31" s="507">
        <v>525</v>
      </c>
      <c r="I31" s="508">
        <f t="shared" si="28"/>
        <v>0.55827338129496407</v>
      </c>
      <c r="J31" s="509">
        <f t="shared" si="29"/>
        <v>0.70036101083032487</v>
      </c>
      <c r="K31" s="506">
        <v>1351</v>
      </c>
      <c r="L31" s="507">
        <v>1047</v>
      </c>
      <c r="M31" s="507">
        <v>870</v>
      </c>
      <c r="N31" s="507">
        <v>626</v>
      </c>
      <c r="O31" s="507">
        <v>476</v>
      </c>
      <c r="P31" s="508">
        <f t="shared" si="30"/>
        <v>0.59789875835721107</v>
      </c>
      <c r="Q31" s="509">
        <f t="shared" si="31"/>
        <v>0.7195402298850575</v>
      </c>
      <c r="R31" s="506">
        <v>2360</v>
      </c>
      <c r="S31" s="507">
        <v>1827</v>
      </c>
      <c r="T31" s="507">
        <v>1827</v>
      </c>
      <c r="U31" s="507">
        <v>1110</v>
      </c>
      <c r="V31" s="507">
        <v>702</v>
      </c>
      <c r="W31" s="508">
        <f t="shared" si="32"/>
        <v>0.60755336617405586</v>
      </c>
      <c r="X31" s="509">
        <f t="shared" si="33"/>
        <v>0.60755336617405586</v>
      </c>
      <c r="Y31" s="506">
        <v>2026</v>
      </c>
      <c r="Z31" s="507">
        <v>1661</v>
      </c>
      <c r="AA31" s="507">
        <v>1661</v>
      </c>
      <c r="AB31" s="507">
        <v>1020</v>
      </c>
      <c r="AC31" s="507">
        <v>586</v>
      </c>
      <c r="AD31" s="508">
        <f t="shared" si="0"/>
        <v>0.61408789885611081</v>
      </c>
      <c r="AE31" s="509">
        <f t="shared" si="1"/>
        <v>0.61408789885611081</v>
      </c>
      <c r="AF31" s="506">
        <v>1624</v>
      </c>
      <c r="AG31" s="507">
        <v>1288</v>
      </c>
      <c r="AH31" s="507">
        <v>1288</v>
      </c>
      <c r="AI31" s="507">
        <v>981</v>
      </c>
      <c r="AJ31" s="507">
        <v>602</v>
      </c>
      <c r="AK31" s="508">
        <f t="shared" si="2"/>
        <v>0.76164596273291929</v>
      </c>
      <c r="AL31" s="509">
        <f t="shared" si="3"/>
        <v>0.76164596273291929</v>
      </c>
      <c r="AM31" s="506">
        <v>1340</v>
      </c>
      <c r="AN31" s="507">
        <v>1090</v>
      </c>
      <c r="AO31" s="507">
        <v>1090</v>
      </c>
      <c r="AP31" s="507">
        <v>920</v>
      </c>
      <c r="AQ31" s="507">
        <v>580</v>
      </c>
      <c r="AR31" s="508">
        <f t="shared" si="4"/>
        <v>0.84403669724770647</v>
      </c>
      <c r="AS31" s="509">
        <f t="shared" si="5"/>
        <v>0.84403669724770647</v>
      </c>
      <c r="AT31" s="506">
        <v>931</v>
      </c>
      <c r="AU31" s="507">
        <v>769</v>
      </c>
      <c r="AV31" s="507">
        <v>769</v>
      </c>
      <c r="AW31" s="507">
        <v>580</v>
      </c>
      <c r="AX31" s="507">
        <v>474</v>
      </c>
      <c r="AY31" s="508">
        <f t="shared" si="6"/>
        <v>0.75422626788036407</v>
      </c>
      <c r="AZ31" s="509">
        <f t="shared" si="7"/>
        <v>0.75422626788036407</v>
      </c>
      <c r="BA31" s="506">
        <v>1128</v>
      </c>
      <c r="BB31" s="507">
        <v>897</v>
      </c>
      <c r="BC31" s="507">
        <v>897</v>
      </c>
      <c r="BD31" s="507">
        <v>659</v>
      </c>
      <c r="BE31" s="507">
        <v>499</v>
      </c>
      <c r="BF31" s="508">
        <f t="shared" si="8"/>
        <v>0.73467112597547379</v>
      </c>
      <c r="BG31" s="509">
        <f t="shared" si="9"/>
        <v>0.73467112597547379</v>
      </c>
      <c r="BH31" s="506">
        <v>1035</v>
      </c>
      <c r="BI31" s="507">
        <v>864</v>
      </c>
      <c r="BJ31" s="507">
        <v>864</v>
      </c>
      <c r="BK31" s="507">
        <v>642</v>
      </c>
      <c r="BL31" s="507">
        <v>507</v>
      </c>
      <c r="BM31" s="508">
        <f t="shared" si="10"/>
        <v>0.74305555555555558</v>
      </c>
      <c r="BN31" s="509">
        <f t="shared" si="11"/>
        <v>0.74305555555555558</v>
      </c>
      <c r="BO31" s="506">
        <v>854</v>
      </c>
      <c r="BP31" s="507">
        <v>736</v>
      </c>
      <c r="BQ31" s="507">
        <v>736</v>
      </c>
      <c r="BR31" s="507">
        <v>524</v>
      </c>
      <c r="BS31" s="507">
        <v>407</v>
      </c>
      <c r="BT31" s="508">
        <f t="shared" si="12"/>
        <v>0.71195652173913049</v>
      </c>
      <c r="BU31" s="509">
        <f t="shared" si="13"/>
        <v>0.71195652173913049</v>
      </c>
      <c r="BV31" s="506">
        <v>930</v>
      </c>
      <c r="BW31" s="507">
        <v>770</v>
      </c>
      <c r="BX31" s="507">
        <v>770</v>
      </c>
      <c r="BY31" s="507">
        <v>575</v>
      </c>
      <c r="BZ31" s="507">
        <v>543</v>
      </c>
      <c r="CA31" s="508">
        <f t="shared" si="14"/>
        <v>0.74675324675324672</v>
      </c>
      <c r="CB31" s="509">
        <f t="shared" si="15"/>
        <v>0.74675324675324672</v>
      </c>
      <c r="CC31" s="506">
        <v>869</v>
      </c>
      <c r="CD31" s="507">
        <v>748</v>
      </c>
      <c r="CE31" s="507">
        <v>748</v>
      </c>
      <c r="CF31" s="507">
        <v>526</v>
      </c>
      <c r="CG31" s="507">
        <v>418</v>
      </c>
      <c r="CH31" s="508">
        <f t="shared" si="16"/>
        <v>0.70320855614973266</v>
      </c>
      <c r="CI31" s="509">
        <f t="shared" si="17"/>
        <v>0.70320855614973266</v>
      </c>
      <c r="CJ31" s="506">
        <v>958</v>
      </c>
      <c r="CK31" s="507">
        <v>815</v>
      </c>
      <c r="CL31" s="507">
        <v>815</v>
      </c>
      <c r="CM31" s="507">
        <v>805</v>
      </c>
      <c r="CN31" s="507">
        <v>443</v>
      </c>
      <c r="CO31" s="508">
        <f t="shared" si="18"/>
        <v>0.98773006134969321</v>
      </c>
      <c r="CP31" s="508">
        <f t="shared" si="19"/>
        <v>0.98773006134969321</v>
      </c>
      <c r="CQ31" s="508">
        <v>0.98773006134969321</v>
      </c>
      <c r="CR31" s="509">
        <v>0.98773006134969321</v>
      </c>
      <c r="CS31" s="506">
        <v>960</v>
      </c>
      <c r="CT31" s="507">
        <v>800</v>
      </c>
      <c r="CU31" s="507">
        <v>800</v>
      </c>
      <c r="CV31" s="507">
        <v>794</v>
      </c>
      <c r="CW31" s="507">
        <v>408</v>
      </c>
      <c r="CX31" s="508">
        <f t="shared" si="20"/>
        <v>0.99250000000000005</v>
      </c>
      <c r="CY31" s="508">
        <f t="shared" si="21"/>
        <v>0.99250000000000005</v>
      </c>
      <c r="CZ31" s="508">
        <v>0.99250000000000005</v>
      </c>
      <c r="DA31" s="509">
        <v>0.99250000000000005</v>
      </c>
      <c r="DB31" s="506">
        <v>1153</v>
      </c>
      <c r="DC31" s="507">
        <v>950</v>
      </c>
      <c r="DD31" s="507">
        <v>950</v>
      </c>
      <c r="DE31" s="507">
        <v>697</v>
      </c>
      <c r="DF31" s="507">
        <v>492</v>
      </c>
      <c r="DG31" s="508">
        <f t="shared" si="22"/>
        <v>0.73368421052631583</v>
      </c>
      <c r="DH31" s="508">
        <f t="shared" si="23"/>
        <v>0.73368421052631583</v>
      </c>
      <c r="DI31" s="508">
        <v>0.9726315789473684</v>
      </c>
      <c r="DJ31" s="509">
        <v>0.9726315789473684</v>
      </c>
      <c r="DK31" s="506">
        <v>1238</v>
      </c>
      <c r="DL31" s="507">
        <v>1005</v>
      </c>
      <c r="DM31" s="507">
        <v>1005</v>
      </c>
      <c r="DN31" s="507">
        <v>680</v>
      </c>
      <c r="DO31" s="507">
        <v>483</v>
      </c>
      <c r="DP31" s="508">
        <f t="shared" si="24"/>
        <v>0.6766169154228856</v>
      </c>
      <c r="DQ31" s="508">
        <f t="shared" si="25"/>
        <v>0.6766169154228856</v>
      </c>
      <c r="DR31" s="508">
        <v>0.98308457711442787</v>
      </c>
      <c r="DS31" s="509">
        <v>0.98308457711442787</v>
      </c>
      <c r="DT31" s="506">
        <v>1560</v>
      </c>
      <c r="DU31" s="507">
        <v>1186</v>
      </c>
      <c r="DV31" s="507">
        <v>1186</v>
      </c>
      <c r="DW31" s="507">
        <v>736</v>
      </c>
      <c r="DX31" s="507">
        <v>521</v>
      </c>
      <c r="DY31" s="508">
        <f t="shared" si="26"/>
        <v>0.62057335581787521</v>
      </c>
      <c r="DZ31" s="508">
        <f t="shared" si="27"/>
        <v>0.62057335581787521</v>
      </c>
      <c r="EA31" s="508">
        <v>0.77824620573355818</v>
      </c>
      <c r="EB31" s="509">
        <v>0.77824620573355818</v>
      </c>
    </row>
    <row r="32" spans="1:132" s="2" customFormat="1" x14ac:dyDescent="0.25">
      <c r="A32" s="525" t="s">
        <v>183</v>
      </c>
      <c r="B32" s="526" t="s">
        <v>196</v>
      </c>
      <c r="C32" s="527" t="s">
        <v>197</v>
      </c>
      <c r="D32" s="528" t="s">
        <v>21</v>
      </c>
      <c r="E32" s="529" t="s">
        <v>21</v>
      </c>
      <c r="F32" s="529" t="s">
        <v>21</v>
      </c>
      <c r="G32" s="529" t="s">
        <v>21</v>
      </c>
      <c r="H32" s="529" t="s">
        <v>21</v>
      </c>
      <c r="I32" s="530" t="s">
        <v>67</v>
      </c>
      <c r="J32" s="531" t="s">
        <v>67</v>
      </c>
      <c r="K32" s="528">
        <v>141</v>
      </c>
      <c r="L32" s="529">
        <v>141</v>
      </c>
      <c r="M32" s="529">
        <v>141</v>
      </c>
      <c r="N32" s="529">
        <v>124</v>
      </c>
      <c r="O32" s="529">
        <v>94</v>
      </c>
      <c r="P32" s="530">
        <f>N32/L32</f>
        <v>0.87943262411347523</v>
      </c>
      <c r="Q32" s="531">
        <f>N32/M32</f>
        <v>0.87943262411347523</v>
      </c>
      <c r="R32" s="528">
        <v>140</v>
      </c>
      <c r="S32" s="529">
        <v>140</v>
      </c>
      <c r="T32" s="529">
        <v>140</v>
      </c>
      <c r="U32" s="529">
        <v>117</v>
      </c>
      <c r="V32" s="529">
        <v>71</v>
      </c>
      <c r="W32" s="530">
        <f t="shared" si="32"/>
        <v>0.83571428571428574</v>
      </c>
      <c r="X32" s="531">
        <f t="shared" si="33"/>
        <v>0.83571428571428574</v>
      </c>
      <c r="Y32" s="528">
        <v>222</v>
      </c>
      <c r="Z32" s="529">
        <v>193</v>
      </c>
      <c r="AA32" s="529">
        <v>193</v>
      </c>
      <c r="AB32" s="529">
        <v>150</v>
      </c>
      <c r="AC32" s="529">
        <v>99</v>
      </c>
      <c r="AD32" s="530">
        <f t="shared" si="0"/>
        <v>0.77720207253886009</v>
      </c>
      <c r="AE32" s="531">
        <f t="shared" si="1"/>
        <v>0.77720207253886009</v>
      </c>
      <c r="AF32" s="528">
        <v>192</v>
      </c>
      <c r="AG32" s="529">
        <v>176</v>
      </c>
      <c r="AH32" s="529">
        <v>176</v>
      </c>
      <c r="AI32" s="529">
        <v>173</v>
      </c>
      <c r="AJ32" s="529">
        <v>109</v>
      </c>
      <c r="AK32" s="530">
        <f t="shared" si="2"/>
        <v>0.98295454545454541</v>
      </c>
      <c r="AL32" s="531">
        <f t="shared" si="3"/>
        <v>0.98295454545454541</v>
      </c>
      <c r="AM32" s="528">
        <v>146</v>
      </c>
      <c r="AN32" s="529">
        <v>132</v>
      </c>
      <c r="AO32" s="529">
        <v>132</v>
      </c>
      <c r="AP32" s="529">
        <v>101</v>
      </c>
      <c r="AQ32" s="529">
        <v>75</v>
      </c>
      <c r="AR32" s="530">
        <f t="shared" si="4"/>
        <v>0.76515151515151514</v>
      </c>
      <c r="AS32" s="531">
        <f t="shared" si="5"/>
        <v>0.76515151515151514</v>
      </c>
      <c r="AT32" s="528">
        <v>121</v>
      </c>
      <c r="AU32" s="529">
        <v>116</v>
      </c>
      <c r="AV32" s="529">
        <v>116</v>
      </c>
      <c r="AW32" s="529">
        <v>95</v>
      </c>
      <c r="AX32" s="529">
        <v>72</v>
      </c>
      <c r="AY32" s="530">
        <f t="shared" si="6"/>
        <v>0.81896551724137934</v>
      </c>
      <c r="AZ32" s="531">
        <f t="shared" si="7"/>
        <v>0.81896551724137934</v>
      </c>
      <c r="BA32" s="528">
        <v>164</v>
      </c>
      <c r="BB32" s="529">
        <v>145</v>
      </c>
      <c r="BC32" s="529">
        <v>145</v>
      </c>
      <c r="BD32" s="529">
        <v>107</v>
      </c>
      <c r="BE32" s="529">
        <v>86</v>
      </c>
      <c r="BF32" s="530">
        <f t="shared" si="8"/>
        <v>0.73793103448275865</v>
      </c>
      <c r="BG32" s="531">
        <f t="shared" si="9"/>
        <v>0.73793103448275865</v>
      </c>
      <c r="BH32" s="528">
        <v>141</v>
      </c>
      <c r="BI32" s="529">
        <v>127</v>
      </c>
      <c r="BJ32" s="529">
        <v>127</v>
      </c>
      <c r="BK32" s="529">
        <v>89</v>
      </c>
      <c r="BL32" s="529">
        <v>68</v>
      </c>
      <c r="BM32" s="530">
        <f t="shared" si="10"/>
        <v>0.70078740157480313</v>
      </c>
      <c r="BN32" s="531">
        <f t="shared" si="11"/>
        <v>0.70078740157480313</v>
      </c>
      <c r="BO32" s="528">
        <v>109</v>
      </c>
      <c r="BP32" s="529">
        <v>101</v>
      </c>
      <c r="BQ32" s="529">
        <v>101</v>
      </c>
      <c r="BR32" s="529">
        <v>77</v>
      </c>
      <c r="BS32" s="529">
        <v>58</v>
      </c>
      <c r="BT32" s="530">
        <f t="shared" si="12"/>
        <v>0.76237623762376239</v>
      </c>
      <c r="BU32" s="531">
        <f t="shared" si="13"/>
        <v>0.76237623762376239</v>
      </c>
      <c r="BV32" s="528">
        <v>113</v>
      </c>
      <c r="BW32" s="529">
        <v>109</v>
      </c>
      <c r="BX32" s="529">
        <v>109</v>
      </c>
      <c r="BY32" s="529">
        <v>84</v>
      </c>
      <c r="BZ32" s="529">
        <v>57</v>
      </c>
      <c r="CA32" s="530">
        <f t="shared" si="14"/>
        <v>0.77064220183486243</v>
      </c>
      <c r="CB32" s="531">
        <f t="shared" si="15"/>
        <v>0.77064220183486243</v>
      </c>
      <c r="CC32" s="528">
        <v>114</v>
      </c>
      <c r="CD32" s="529">
        <v>105</v>
      </c>
      <c r="CE32" s="529">
        <v>105</v>
      </c>
      <c r="CF32" s="529">
        <v>70</v>
      </c>
      <c r="CG32" s="529">
        <v>63</v>
      </c>
      <c r="CH32" s="530">
        <f t="shared" si="16"/>
        <v>0.66666666666666663</v>
      </c>
      <c r="CI32" s="531">
        <f t="shared" si="17"/>
        <v>0.66666666666666663</v>
      </c>
      <c r="CJ32" s="528">
        <v>94</v>
      </c>
      <c r="CK32" s="529">
        <v>89</v>
      </c>
      <c r="CL32" s="529">
        <v>89</v>
      </c>
      <c r="CM32" s="529">
        <v>84</v>
      </c>
      <c r="CN32" s="529">
        <v>53</v>
      </c>
      <c r="CO32" s="530">
        <f t="shared" si="18"/>
        <v>0.9438202247191011</v>
      </c>
      <c r="CP32" s="530">
        <f t="shared" si="19"/>
        <v>0.9438202247191011</v>
      </c>
      <c r="CQ32" s="530">
        <v>0.9438202247191011</v>
      </c>
      <c r="CR32" s="531">
        <v>0.9438202247191011</v>
      </c>
      <c r="CS32" s="528">
        <v>163</v>
      </c>
      <c r="CT32" s="529">
        <v>149</v>
      </c>
      <c r="CU32" s="529">
        <v>149</v>
      </c>
      <c r="CV32" s="529">
        <v>94</v>
      </c>
      <c r="CW32" s="529">
        <v>67</v>
      </c>
      <c r="CX32" s="530">
        <f t="shared" si="20"/>
        <v>0.63087248322147649</v>
      </c>
      <c r="CY32" s="530">
        <f t="shared" si="21"/>
        <v>0.63087248322147649</v>
      </c>
      <c r="CZ32" s="530">
        <v>0.80536912751677847</v>
      </c>
      <c r="DA32" s="531">
        <v>0.80536912751677847</v>
      </c>
      <c r="DB32" s="528">
        <v>160</v>
      </c>
      <c r="DC32" s="529">
        <v>150</v>
      </c>
      <c r="DD32" s="529">
        <v>150</v>
      </c>
      <c r="DE32" s="529">
        <v>103</v>
      </c>
      <c r="DF32" s="529">
        <v>76</v>
      </c>
      <c r="DG32" s="530">
        <f t="shared" si="22"/>
        <v>0.68666666666666665</v>
      </c>
      <c r="DH32" s="530">
        <f t="shared" si="23"/>
        <v>0.68666666666666665</v>
      </c>
      <c r="DI32" s="530">
        <v>1</v>
      </c>
      <c r="DJ32" s="531">
        <v>1</v>
      </c>
      <c r="DK32" s="528">
        <v>145</v>
      </c>
      <c r="DL32" s="529">
        <v>130</v>
      </c>
      <c r="DM32" s="529">
        <v>130</v>
      </c>
      <c r="DN32" s="529">
        <v>96</v>
      </c>
      <c r="DO32" s="529">
        <v>75</v>
      </c>
      <c r="DP32" s="530">
        <f t="shared" si="24"/>
        <v>0.7384615384615385</v>
      </c>
      <c r="DQ32" s="530">
        <f t="shared" si="25"/>
        <v>0.7384615384615385</v>
      </c>
      <c r="DR32" s="530">
        <v>1</v>
      </c>
      <c r="DS32" s="531">
        <v>1</v>
      </c>
      <c r="DT32" s="528">
        <v>93</v>
      </c>
      <c r="DU32" s="529">
        <v>84</v>
      </c>
      <c r="DV32" s="529">
        <v>84</v>
      </c>
      <c r="DW32" s="529">
        <v>84</v>
      </c>
      <c r="DX32" s="529">
        <v>56</v>
      </c>
      <c r="DY32" s="530">
        <f t="shared" si="26"/>
        <v>1</v>
      </c>
      <c r="DZ32" s="530">
        <f t="shared" si="27"/>
        <v>1</v>
      </c>
      <c r="EA32" s="530">
        <v>1</v>
      </c>
      <c r="EB32" s="531">
        <v>1</v>
      </c>
    </row>
    <row r="33" spans="1:132" s="2" customFormat="1" x14ac:dyDescent="0.25">
      <c r="A33" s="525" t="s">
        <v>183</v>
      </c>
      <c r="B33" s="512" t="s">
        <v>198</v>
      </c>
      <c r="C33" s="532" t="s">
        <v>199</v>
      </c>
      <c r="D33" s="514" t="s">
        <v>21</v>
      </c>
      <c r="E33" s="515" t="s">
        <v>21</v>
      </c>
      <c r="F33" s="515" t="s">
        <v>21</v>
      </c>
      <c r="G33" s="515" t="s">
        <v>21</v>
      </c>
      <c r="H33" s="515" t="s">
        <v>21</v>
      </c>
      <c r="I33" s="516" t="s">
        <v>67</v>
      </c>
      <c r="J33" s="517" t="s">
        <v>67</v>
      </c>
      <c r="K33" s="514" t="s">
        <v>67</v>
      </c>
      <c r="L33" s="515" t="s">
        <v>67</v>
      </c>
      <c r="M33" s="515" t="s">
        <v>67</v>
      </c>
      <c r="N33" s="515" t="s">
        <v>67</v>
      </c>
      <c r="O33" s="515" t="s">
        <v>67</v>
      </c>
      <c r="P33" s="516" t="s">
        <v>67</v>
      </c>
      <c r="Q33" s="517" t="s">
        <v>67</v>
      </c>
      <c r="R33" s="514" t="s">
        <v>67</v>
      </c>
      <c r="S33" s="515" t="s">
        <v>67</v>
      </c>
      <c r="T33" s="515" t="s">
        <v>67</v>
      </c>
      <c r="U33" s="515" t="s">
        <v>67</v>
      </c>
      <c r="V33" s="515" t="s">
        <v>67</v>
      </c>
      <c r="W33" s="516" t="s">
        <v>67</v>
      </c>
      <c r="X33" s="517" t="s">
        <v>67</v>
      </c>
      <c r="Y33" s="514" t="s">
        <v>67</v>
      </c>
      <c r="Z33" s="515" t="s">
        <v>67</v>
      </c>
      <c r="AA33" s="515" t="s">
        <v>67</v>
      </c>
      <c r="AB33" s="515" t="s">
        <v>67</v>
      </c>
      <c r="AC33" s="515" t="s">
        <v>67</v>
      </c>
      <c r="AD33" s="516" t="s">
        <v>67</v>
      </c>
      <c r="AE33" s="517" t="s">
        <v>67</v>
      </c>
      <c r="AF33" s="514" t="s">
        <v>67</v>
      </c>
      <c r="AG33" s="515" t="s">
        <v>67</v>
      </c>
      <c r="AH33" s="515" t="s">
        <v>67</v>
      </c>
      <c r="AI33" s="515" t="s">
        <v>67</v>
      </c>
      <c r="AJ33" s="515" t="s">
        <v>67</v>
      </c>
      <c r="AK33" s="516" t="s">
        <v>67</v>
      </c>
      <c r="AL33" s="517" t="s">
        <v>67</v>
      </c>
      <c r="AM33" s="514" t="s">
        <v>67</v>
      </c>
      <c r="AN33" s="515" t="s">
        <v>67</v>
      </c>
      <c r="AO33" s="515" t="s">
        <v>67</v>
      </c>
      <c r="AP33" s="515" t="s">
        <v>67</v>
      </c>
      <c r="AQ33" s="515" t="s">
        <v>67</v>
      </c>
      <c r="AR33" s="516" t="s">
        <v>67</v>
      </c>
      <c r="AS33" s="517" t="s">
        <v>67</v>
      </c>
      <c r="AT33" s="514" t="s">
        <v>67</v>
      </c>
      <c r="AU33" s="515" t="s">
        <v>67</v>
      </c>
      <c r="AV33" s="515" t="s">
        <v>67</v>
      </c>
      <c r="AW33" s="515" t="s">
        <v>67</v>
      </c>
      <c r="AX33" s="515" t="s">
        <v>67</v>
      </c>
      <c r="AY33" s="516" t="s">
        <v>67</v>
      </c>
      <c r="AZ33" s="517" t="s">
        <v>67</v>
      </c>
      <c r="BA33" s="514" t="s">
        <v>67</v>
      </c>
      <c r="BB33" s="515" t="s">
        <v>67</v>
      </c>
      <c r="BC33" s="515" t="s">
        <v>67</v>
      </c>
      <c r="BD33" s="515" t="s">
        <v>67</v>
      </c>
      <c r="BE33" s="515" t="s">
        <v>67</v>
      </c>
      <c r="BF33" s="516" t="s">
        <v>67</v>
      </c>
      <c r="BG33" s="517" t="s">
        <v>67</v>
      </c>
      <c r="BH33" s="514" t="s">
        <v>67</v>
      </c>
      <c r="BI33" s="515" t="s">
        <v>67</v>
      </c>
      <c r="BJ33" s="515" t="s">
        <v>67</v>
      </c>
      <c r="BK33" s="515" t="s">
        <v>67</v>
      </c>
      <c r="BL33" s="515" t="s">
        <v>67</v>
      </c>
      <c r="BM33" s="516" t="s">
        <v>67</v>
      </c>
      <c r="BN33" s="517" t="s">
        <v>67</v>
      </c>
      <c r="BO33" s="514" t="s">
        <v>67</v>
      </c>
      <c r="BP33" s="515" t="s">
        <v>67</v>
      </c>
      <c r="BQ33" s="515" t="s">
        <v>67</v>
      </c>
      <c r="BR33" s="515" t="s">
        <v>67</v>
      </c>
      <c r="BS33" s="515" t="s">
        <v>67</v>
      </c>
      <c r="BT33" s="516" t="s">
        <v>67</v>
      </c>
      <c r="BU33" s="517" t="s">
        <v>67</v>
      </c>
      <c r="BV33" s="514" t="s">
        <v>67</v>
      </c>
      <c r="BW33" s="515" t="s">
        <v>67</v>
      </c>
      <c r="BX33" s="515" t="s">
        <v>67</v>
      </c>
      <c r="BY33" s="515" t="s">
        <v>67</v>
      </c>
      <c r="BZ33" s="515" t="s">
        <v>67</v>
      </c>
      <c r="CA33" s="516" t="s">
        <v>67</v>
      </c>
      <c r="CB33" s="517" t="s">
        <v>67</v>
      </c>
      <c r="CC33" s="514" t="s">
        <v>67</v>
      </c>
      <c r="CD33" s="515" t="s">
        <v>67</v>
      </c>
      <c r="CE33" s="515" t="s">
        <v>67</v>
      </c>
      <c r="CF33" s="515" t="s">
        <v>67</v>
      </c>
      <c r="CG33" s="515" t="s">
        <v>67</v>
      </c>
      <c r="CH33" s="516" t="s">
        <v>67</v>
      </c>
      <c r="CI33" s="517" t="s">
        <v>67</v>
      </c>
      <c r="CJ33" s="514" t="s">
        <v>67</v>
      </c>
      <c r="CK33" s="515" t="s">
        <v>67</v>
      </c>
      <c r="CL33" s="515" t="s">
        <v>67</v>
      </c>
      <c r="CM33" s="515" t="s">
        <v>67</v>
      </c>
      <c r="CN33" s="515" t="s">
        <v>67</v>
      </c>
      <c r="CO33" s="516" t="s">
        <v>67</v>
      </c>
      <c r="CP33" s="516" t="s">
        <v>67</v>
      </c>
      <c r="CQ33" s="516" t="s">
        <v>67</v>
      </c>
      <c r="CR33" s="517" t="s">
        <v>67</v>
      </c>
      <c r="CS33" s="514" t="s">
        <v>67</v>
      </c>
      <c r="CT33" s="515" t="s">
        <v>67</v>
      </c>
      <c r="CU33" s="515" t="s">
        <v>67</v>
      </c>
      <c r="CV33" s="515" t="s">
        <v>67</v>
      </c>
      <c r="CW33" s="515" t="s">
        <v>67</v>
      </c>
      <c r="CX33" s="516" t="s">
        <v>67</v>
      </c>
      <c r="CY33" s="516" t="s">
        <v>67</v>
      </c>
      <c r="CZ33" s="516" t="s">
        <v>67</v>
      </c>
      <c r="DA33" s="517" t="s">
        <v>67</v>
      </c>
      <c r="DB33" s="514" t="s">
        <v>67</v>
      </c>
      <c r="DC33" s="515" t="s">
        <v>67</v>
      </c>
      <c r="DD33" s="515" t="s">
        <v>67</v>
      </c>
      <c r="DE33" s="515" t="s">
        <v>67</v>
      </c>
      <c r="DF33" s="515" t="s">
        <v>67</v>
      </c>
      <c r="DG33" s="516" t="s">
        <v>67</v>
      </c>
      <c r="DH33" s="516" t="s">
        <v>67</v>
      </c>
      <c r="DI33" s="516" t="s">
        <v>67</v>
      </c>
      <c r="DJ33" s="517" t="s">
        <v>67</v>
      </c>
      <c r="DK33" s="514" t="s">
        <v>67</v>
      </c>
      <c r="DL33" s="515" t="s">
        <v>67</v>
      </c>
      <c r="DM33" s="515" t="s">
        <v>67</v>
      </c>
      <c r="DN33" s="515" t="s">
        <v>67</v>
      </c>
      <c r="DO33" s="515" t="s">
        <v>67</v>
      </c>
      <c r="DP33" s="516" t="s">
        <v>67</v>
      </c>
      <c r="DQ33" s="516" t="s">
        <v>67</v>
      </c>
      <c r="DR33" s="516" t="s">
        <v>67</v>
      </c>
      <c r="DS33" s="517" t="s">
        <v>67</v>
      </c>
      <c r="DT33" s="514" t="s">
        <v>67</v>
      </c>
      <c r="DU33" s="515" t="s">
        <v>67</v>
      </c>
      <c r="DV33" s="515" t="s">
        <v>67</v>
      </c>
      <c r="DW33" s="515" t="s">
        <v>67</v>
      </c>
      <c r="DX33" s="515" t="s">
        <v>67</v>
      </c>
      <c r="DY33" s="516" t="s">
        <v>67</v>
      </c>
      <c r="DZ33" s="516" t="s">
        <v>67</v>
      </c>
      <c r="EA33" s="516" t="s">
        <v>67</v>
      </c>
      <c r="EB33" s="517" t="s">
        <v>67</v>
      </c>
    </row>
    <row r="34" spans="1:132" s="2" customFormat="1" x14ac:dyDescent="0.25">
      <c r="A34" s="533" t="s">
        <v>200</v>
      </c>
      <c r="B34" s="534" t="s">
        <v>201</v>
      </c>
      <c r="C34" s="520"/>
      <c r="D34" s="535">
        <v>10098</v>
      </c>
      <c r="E34" s="521">
        <v>7421</v>
      </c>
      <c r="F34" s="521">
        <v>6404</v>
      </c>
      <c r="G34" s="521">
        <v>4345</v>
      </c>
      <c r="H34" s="522">
        <v>3420</v>
      </c>
      <c r="I34" s="523">
        <f t="shared" si="28"/>
        <v>0.5855006063872793</v>
      </c>
      <c r="J34" s="524">
        <f t="shared" si="29"/>
        <v>0.67848219862585879</v>
      </c>
      <c r="K34" s="535">
        <v>10449</v>
      </c>
      <c r="L34" s="521">
        <v>7524</v>
      </c>
      <c r="M34" s="521">
        <v>6670</v>
      </c>
      <c r="N34" s="521">
        <v>4700</v>
      </c>
      <c r="O34" s="522">
        <v>3786</v>
      </c>
      <c r="P34" s="523">
        <f t="shared" ref="P34:P42" si="34">N34/L34</f>
        <v>0.62466772993088782</v>
      </c>
      <c r="Q34" s="524">
        <f t="shared" ref="Q34:Q42" si="35">N34/M34</f>
        <v>0.70464767616191903</v>
      </c>
      <c r="R34" s="535">
        <v>10110</v>
      </c>
      <c r="S34" s="521">
        <v>7428</v>
      </c>
      <c r="T34" s="521">
        <v>6600</v>
      </c>
      <c r="U34" s="521">
        <v>4073</v>
      </c>
      <c r="V34" s="522">
        <v>3400</v>
      </c>
      <c r="W34" s="523">
        <f t="shared" si="32"/>
        <v>0.54833064081852445</v>
      </c>
      <c r="X34" s="524">
        <f t="shared" si="33"/>
        <v>0.61712121212121207</v>
      </c>
      <c r="Y34" s="535">
        <v>8889</v>
      </c>
      <c r="Z34" s="521">
        <v>6555</v>
      </c>
      <c r="AA34" s="521">
        <v>5725</v>
      </c>
      <c r="AB34" s="521">
        <v>4064</v>
      </c>
      <c r="AC34" s="522">
        <v>3350</v>
      </c>
      <c r="AD34" s="523">
        <f t="shared" ref="AD34:AD42" si="36">AB34/Z34</f>
        <v>0.61998474446987029</v>
      </c>
      <c r="AE34" s="524">
        <f t="shared" ref="AE34:AE42" si="37">AB34/AA34</f>
        <v>0.70986899563318773</v>
      </c>
      <c r="AF34" s="535">
        <v>8279</v>
      </c>
      <c r="AG34" s="521">
        <v>6195</v>
      </c>
      <c r="AH34" s="521">
        <v>5433</v>
      </c>
      <c r="AI34" s="521">
        <v>3944</v>
      </c>
      <c r="AJ34" s="522">
        <v>3275</v>
      </c>
      <c r="AK34" s="523">
        <f t="shared" ref="AK34:AK42" si="38">AI34/AG34</f>
        <v>0.63664245359160609</v>
      </c>
      <c r="AL34" s="524">
        <f t="shared" ref="AL34:AL42" si="39">AI34/AH34</f>
        <v>0.72593410638689493</v>
      </c>
      <c r="AM34" s="535">
        <v>6954</v>
      </c>
      <c r="AN34" s="521">
        <v>5381</v>
      </c>
      <c r="AO34" s="521">
        <v>4786</v>
      </c>
      <c r="AP34" s="521">
        <v>3471</v>
      </c>
      <c r="AQ34" s="522">
        <v>2893</v>
      </c>
      <c r="AR34" s="523">
        <f t="shared" ref="AR34:AR42" si="40">AP34/AN34</f>
        <v>0.64504738896115965</v>
      </c>
      <c r="AS34" s="524">
        <f t="shared" ref="AS34:AS42" si="41">AP34/AO34</f>
        <v>0.72524028416213959</v>
      </c>
      <c r="AT34" s="535">
        <v>6743</v>
      </c>
      <c r="AU34" s="521">
        <v>5418</v>
      </c>
      <c r="AV34" s="521">
        <v>4797</v>
      </c>
      <c r="AW34" s="521">
        <v>3236</v>
      </c>
      <c r="AX34" s="522">
        <v>2664</v>
      </c>
      <c r="AY34" s="523">
        <f t="shared" ref="AY34:AY42" si="42">AW34/AU34</f>
        <v>0.59726836471022515</v>
      </c>
      <c r="AZ34" s="524">
        <f t="shared" ref="AZ34:AZ42" si="43">AW34/AV34</f>
        <v>0.67458828434438189</v>
      </c>
      <c r="BA34" s="535">
        <v>5749</v>
      </c>
      <c r="BB34" s="521">
        <v>4567</v>
      </c>
      <c r="BC34" s="521">
        <v>4090</v>
      </c>
      <c r="BD34" s="521">
        <v>3047</v>
      </c>
      <c r="BE34" s="522">
        <v>2496</v>
      </c>
      <c r="BF34" s="523">
        <f t="shared" ref="BF34:BF42" si="44">BD34/BB34</f>
        <v>0.66717757827895774</v>
      </c>
      <c r="BG34" s="524">
        <f t="shared" ref="BG34:BG42" si="45">BD34/BC34</f>
        <v>0.74498777506112468</v>
      </c>
      <c r="BH34" s="535">
        <v>5863</v>
      </c>
      <c r="BI34" s="521">
        <v>4576</v>
      </c>
      <c r="BJ34" s="521">
        <v>4125</v>
      </c>
      <c r="BK34" s="521">
        <v>3034</v>
      </c>
      <c r="BL34" s="522">
        <v>2418</v>
      </c>
      <c r="BM34" s="523">
        <f t="shared" ref="BM34:BM42" si="46">BK34/BI34</f>
        <v>0.66302447552447552</v>
      </c>
      <c r="BN34" s="524">
        <f t="shared" ref="BN34:BN42" si="47">BK34/BJ34</f>
        <v>0.73551515151515157</v>
      </c>
      <c r="BO34" s="535">
        <v>5454</v>
      </c>
      <c r="BP34" s="521">
        <v>4286</v>
      </c>
      <c r="BQ34" s="521">
        <v>3866</v>
      </c>
      <c r="BR34" s="521">
        <v>2970</v>
      </c>
      <c r="BS34" s="522">
        <v>2465</v>
      </c>
      <c r="BT34" s="523">
        <f t="shared" ref="BT34:BT42" si="48">BR34/BP34</f>
        <v>0.69295380307979471</v>
      </c>
      <c r="BU34" s="524">
        <f t="shared" ref="BU34:BU42" si="49">BR34/BQ34</f>
        <v>0.76823590274185205</v>
      </c>
      <c r="BV34" s="535">
        <v>5658</v>
      </c>
      <c r="BW34" s="521">
        <v>4406</v>
      </c>
      <c r="BX34" s="521">
        <v>4023</v>
      </c>
      <c r="BY34" s="521">
        <v>3128</v>
      </c>
      <c r="BZ34" s="522">
        <v>2598</v>
      </c>
      <c r="CA34" s="523">
        <f t="shared" ref="CA34:CA42" si="50">BY34/BW34</f>
        <v>0.70994098955969132</v>
      </c>
      <c r="CB34" s="524">
        <f t="shared" ref="CB34:CB42" si="51">BY34/BX34</f>
        <v>0.77752920705940842</v>
      </c>
      <c r="CC34" s="535">
        <v>6384</v>
      </c>
      <c r="CD34" s="521">
        <v>5037</v>
      </c>
      <c r="CE34" s="521">
        <v>4713</v>
      </c>
      <c r="CF34" s="521">
        <v>3398</v>
      </c>
      <c r="CG34" s="522">
        <v>3008</v>
      </c>
      <c r="CH34" s="523">
        <f t="shared" ref="CH34:CH42" si="52">CF34/CD34</f>
        <v>0.67460790152868766</v>
      </c>
      <c r="CI34" s="524">
        <f t="shared" ref="CI34:CI42" si="53">CF34/CE34</f>
        <v>0.7209845109272226</v>
      </c>
      <c r="CJ34" s="535">
        <v>6968</v>
      </c>
      <c r="CK34" s="521">
        <v>5356</v>
      </c>
      <c r="CL34" s="521">
        <v>4825</v>
      </c>
      <c r="CM34" s="521">
        <v>3320</v>
      </c>
      <c r="CN34" s="522">
        <v>2847</v>
      </c>
      <c r="CO34" s="523">
        <f t="shared" ref="CO34:CO42" si="54">CM34/CK34</f>
        <v>0.61986557132188203</v>
      </c>
      <c r="CP34" s="663">
        <f t="shared" ref="CP34:CP42" si="55">CM34/CL34</f>
        <v>0.6880829015544041</v>
      </c>
      <c r="CQ34" s="523">
        <v>0.73300970873786409</v>
      </c>
      <c r="CR34" s="524">
        <v>0.81367875647668397</v>
      </c>
      <c r="CS34" s="535">
        <v>6104</v>
      </c>
      <c r="CT34" s="521">
        <v>4588</v>
      </c>
      <c r="CU34" s="521">
        <v>4090</v>
      </c>
      <c r="CV34" s="521">
        <v>3055</v>
      </c>
      <c r="CW34" s="522">
        <v>2592</v>
      </c>
      <c r="CX34" s="523">
        <f t="shared" ref="CX34:CX42" si="56">CV34/CT34</f>
        <v>0.66586748038360943</v>
      </c>
      <c r="CY34" s="663">
        <f t="shared" ref="CY34:CY42" si="57">CV34/CU34</f>
        <v>0.74694376528117357</v>
      </c>
      <c r="CZ34" s="523">
        <v>0.74912816041848296</v>
      </c>
      <c r="DA34" s="524">
        <v>0.84034229828850859</v>
      </c>
      <c r="DB34" s="535">
        <v>7648</v>
      </c>
      <c r="DC34" s="521">
        <v>5656</v>
      </c>
      <c r="DD34" s="521">
        <v>5062</v>
      </c>
      <c r="DE34" s="521">
        <v>3593</v>
      </c>
      <c r="DF34" s="522">
        <v>2982</v>
      </c>
      <c r="DG34" s="523">
        <f t="shared" ref="DG34:DG42" si="58">DE34/DC34</f>
        <v>0.63525459688826025</v>
      </c>
      <c r="DH34" s="663">
        <f t="shared" ref="DH34:DH42" si="59">DE34/DD34</f>
        <v>0.70979849861714739</v>
      </c>
      <c r="DI34" s="523">
        <v>0.71764497878359268</v>
      </c>
      <c r="DJ34" s="524">
        <v>0.80185697352824969</v>
      </c>
      <c r="DK34" s="535">
        <v>7844</v>
      </c>
      <c r="DL34" s="521">
        <v>5714</v>
      </c>
      <c r="DM34" s="521">
        <v>4901</v>
      </c>
      <c r="DN34" s="521">
        <v>3729</v>
      </c>
      <c r="DO34" s="522">
        <v>3120</v>
      </c>
      <c r="DP34" s="523">
        <f t="shared" ref="DP34:DP42" si="60">DN34/DL34</f>
        <v>0.65260763038151903</v>
      </c>
      <c r="DQ34" s="663">
        <f t="shared" ref="DQ34:DQ42" si="61">DN34/DM34</f>
        <v>0.76086512956539487</v>
      </c>
      <c r="DR34" s="523">
        <v>0.68795939796989847</v>
      </c>
      <c r="DS34" s="524">
        <v>0.80208120791675164</v>
      </c>
      <c r="DT34" s="535">
        <v>8600</v>
      </c>
      <c r="DU34" s="521">
        <v>5993</v>
      </c>
      <c r="DV34" s="521">
        <v>5065</v>
      </c>
      <c r="DW34" s="521">
        <v>3878</v>
      </c>
      <c r="DX34" s="522">
        <v>3294</v>
      </c>
      <c r="DY34" s="523">
        <f t="shared" ref="DY34:DY42" si="62">DW34/DU34</f>
        <v>0.64708826964792254</v>
      </c>
      <c r="DZ34" s="663">
        <f t="shared" ref="DZ34:DZ42" si="63">DW34/DV34</f>
        <v>0.76564659427443238</v>
      </c>
      <c r="EA34" s="523">
        <v>0.6829634573669281</v>
      </c>
      <c r="EB34" s="524">
        <v>0.80809476801579472</v>
      </c>
    </row>
    <row r="35" spans="1:132" s="2" customFormat="1" x14ac:dyDescent="0.25">
      <c r="A35" s="503" t="s">
        <v>202</v>
      </c>
      <c r="B35" s="504" t="s">
        <v>203</v>
      </c>
      <c r="C35" s="505" t="s">
        <v>162</v>
      </c>
      <c r="D35" s="536">
        <v>923</v>
      </c>
      <c r="E35" s="537">
        <v>783</v>
      </c>
      <c r="F35" s="537">
        <v>583</v>
      </c>
      <c r="G35" s="537">
        <v>482</v>
      </c>
      <c r="H35" s="537">
        <v>340</v>
      </c>
      <c r="I35" s="538">
        <f t="shared" si="28"/>
        <v>0.61558109833971908</v>
      </c>
      <c r="J35" s="539">
        <f t="shared" si="29"/>
        <v>0.82675814751286447</v>
      </c>
      <c r="K35" s="536">
        <v>907</v>
      </c>
      <c r="L35" s="537">
        <v>762</v>
      </c>
      <c r="M35" s="537">
        <v>561</v>
      </c>
      <c r="N35" s="537">
        <v>463</v>
      </c>
      <c r="O35" s="537">
        <v>331</v>
      </c>
      <c r="P35" s="538">
        <f t="shared" si="34"/>
        <v>0.6076115485564304</v>
      </c>
      <c r="Q35" s="539">
        <f t="shared" si="35"/>
        <v>0.82531194295900179</v>
      </c>
      <c r="R35" s="536">
        <v>780</v>
      </c>
      <c r="S35" s="537">
        <v>658</v>
      </c>
      <c r="T35" s="537">
        <v>492</v>
      </c>
      <c r="U35" s="537">
        <v>376</v>
      </c>
      <c r="V35" s="537">
        <v>278</v>
      </c>
      <c r="W35" s="538">
        <f t="shared" si="32"/>
        <v>0.5714285714285714</v>
      </c>
      <c r="X35" s="539">
        <f t="shared" si="33"/>
        <v>0.76422764227642281</v>
      </c>
      <c r="Y35" s="536">
        <v>790</v>
      </c>
      <c r="Z35" s="537">
        <v>688</v>
      </c>
      <c r="AA35" s="537">
        <v>511</v>
      </c>
      <c r="AB35" s="537">
        <v>468</v>
      </c>
      <c r="AC35" s="537">
        <v>343</v>
      </c>
      <c r="AD35" s="538">
        <f t="shared" si="36"/>
        <v>0.68023255813953487</v>
      </c>
      <c r="AE35" s="539">
        <f t="shared" si="37"/>
        <v>0.91585127201565553</v>
      </c>
      <c r="AF35" s="536">
        <v>773</v>
      </c>
      <c r="AG35" s="537">
        <v>664</v>
      </c>
      <c r="AH35" s="537">
        <v>491</v>
      </c>
      <c r="AI35" s="537">
        <v>462</v>
      </c>
      <c r="AJ35" s="537">
        <v>337</v>
      </c>
      <c r="AK35" s="538">
        <f t="shared" si="38"/>
        <v>0.69578313253012047</v>
      </c>
      <c r="AL35" s="539">
        <f t="shared" si="39"/>
        <v>0.94093686354378814</v>
      </c>
      <c r="AM35" s="536">
        <v>598</v>
      </c>
      <c r="AN35" s="537">
        <v>517</v>
      </c>
      <c r="AO35" s="537">
        <v>380</v>
      </c>
      <c r="AP35" s="537">
        <v>360</v>
      </c>
      <c r="AQ35" s="537">
        <v>296</v>
      </c>
      <c r="AR35" s="538">
        <f t="shared" si="40"/>
        <v>0.69632495164410058</v>
      </c>
      <c r="AS35" s="539">
        <f t="shared" si="41"/>
        <v>0.94736842105263153</v>
      </c>
      <c r="AT35" s="536">
        <v>417</v>
      </c>
      <c r="AU35" s="537">
        <v>376</v>
      </c>
      <c r="AV35" s="537">
        <v>275</v>
      </c>
      <c r="AW35" s="537">
        <v>255</v>
      </c>
      <c r="AX35" s="537">
        <v>217</v>
      </c>
      <c r="AY35" s="538">
        <f t="shared" si="42"/>
        <v>0.67819148936170215</v>
      </c>
      <c r="AZ35" s="539">
        <f t="shared" si="43"/>
        <v>0.92727272727272725</v>
      </c>
      <c r="BA35" s="536">
        <v>404</v>
      </c>
      <c r="BB35" s="537">
        <v>356</v>
      </c>
      <c r="BC35" s="537">
        <v>270</v>
      </c>
      <c r="BD35" s="537">
        <v>258</v>
      </c>
      <c r="BE35" s="537">
        <v>208</v>
      </c>
      <c r="BF35" s="538">
        <f t="shared" si="44"/>
        <v>0.7247191011235955</v>
      </c>
      <c r="BG35" s="539">
        <f t="shared" si="45"/>
        <v>0.9555555555555556</v>
      </c>
      <c r="BH35" s="536">
        <v>372</v>
      </c>
      <c r="BI35" s="537">
        <v>336</v>
      </c>
      <c r="BJ35" s="537">
        <v>260</v>
      </c>
      <c r="BK35" s="537">
        <v>246</v>
      </c>
      <c r="BL35" s="537">
        <v>191</v>
      </c>
      <c r="BM35" s="538">
        <f t="shared" si="46"/>
        <v>0.7321428571428571</v>
      </c>
      <c r="BN35" s="539">
        <f t="shared" si="47"/>
        <v>0.94615384615384612</v>
      </c>
      <c r="BO35" s="536">
        <v>341</v>
      </c>
      <c r="BP35" s="537">
        <v>302</v>
      </c>
      <c r="BQ35" s="537">
        <v>223</v>
      </c>
      <c r="BR35" s="537">
        <v>207</v>
      </c>
      <c r="BS35" s="537">
        <v>163</v>
      </c>
      <c r="BT35" s="538">
        <f t="shared" si="48"/>
        <v>0.68543046357615889</v>
      </c>
      <c r="BU35" s="539">
        <f t="shared" si="49"/>
        <v>0.9282511210762332</v>
      </c>
      <c r="BV35" s="536">
        <v>352</v>
      </c>
      <c r="BW35" s="537">
        <v>312</v>
      </c>
      <c r="BX35" s="537">
        <v>222</v>
      </c>
      <c r="BY35" s="537">
        <v>200</v>
      </c>
      <c r="BZ35" s="537">
        <v>178</v>
      </c>
      <c r="CA35" s="538">
        <f t="shared" si="50"/>
        <v>0.64102564102564108</v>
      </c>
      <c r="CB35" s="539">
        <f t="shared" si="51"/>
        <v>0.90090090090090091</v>
      </c>
      <c r="CC35" s="536">
        <v>717</v>
      </c>
      <c r="CD35" s="537">
        <v>648</v>
      </c>
      <c r="CE35" s="537">
        <v>648</v>
      </c>
      <c r="CF35" s="537">
        <v>520</v>
      </c>
      <c r="CG35" s="537">
        <v>432</v>
      </c>
      <c r="CH35" s="538">
        <f t="shared" si="52"/>
        <v>0.80246913580246915</v>
      </c>
      <c r="CI35" s="539">
        <f t="shared" si="53"/>
        <v>0.80246913580246915</v>
      </c>
      <c r="CJ35" s="536">
        <v>701</v>
      </c>
      <c r="CK35" s="537">
        <v>586</v>
      </c>
      <c r="CL35" s="537">
        <v>464</v>
      </c>
      <c r="CM35" s="537">
        <v>367</v>
      </c>
      <c r="CN35" s="537">
        <v>314</v>
      </c>
      <c r="CO35" s="538">
        <f t="shared" si="54"/>
        <v>0.62627986348122866</v>
      </c>
      <c r="CP35" s="538">
        <f t="shared" si="55"/>
        <v>0.79094827586206895</v>
      </c>
      <c r="CQ35" s="538">
        <v>0.65699658703071673</v>
      </c>
      <c r="CR35" s="539">
        <v>0.82974137931034486</v>
      </c>
      <c r="CS35" s="536">
        <v>629</v>
      </c>
      <c r="CT35" s="537">
        <v>530</v>
      </c>
      <c r="CU35" s="537">
        <v>439</v>
      </c>
      <c r="CV35" s="537">
        <v>353</v>
      </c>
      <c r="CW35" s="537">
        <v>251</v>
      </c>
      <c r="CX35" s="538">
        <f t="shared" si="56"/>
        <v>0.66603773584905657</v>
      </c>
      <c r="CY35" s="538">
        <f t="shared" si="57"/>
        <v>0.80410022779043278</v>
      </c>
      <c r="CZ35" s="538">
        <v>0.80377358490566042</v>
      </c>
      <c r="DA35" s="539">
        <v>0.97038724373576313</v>
      </c>
      <c r="DB35" s="536">
        <v>958</v>
      </c>
      <c r="DC35" s="537">
        <v>804</v>
      </c>
      <c r="DD35" s="537">
        <v>750</v>
      </c>
      <c r="DE35" s="537">
        <v>558</v>
      </c>
      <c r="DF35" s="537">
        <v>403</v>
      </c>
      <c r="DG35" s="538">
        <f t="shared" si="58"/>
        <v>0.69402985074626866</v>
      </c>
      <c r="DH35" s="538">
        <f t="shared" si="59"/>
        <v>0.74399999999999999</v>
      </c>
      <c r="DI35" s="538">
        <v>0.9191542288557214</v>
      </c>
      <c r="DJ35" s="539">
        <v>0.98533333333333328</v>
      </c>
      <c r="DK35" s="536">
        <v>857</v>
      </c>
      <c r="DL35" s="537">
        <v>699</v>
      </c>
      <c r="DM35" s="537">
        <v>495</v>
      </c>
      <c r="DN35" s="537">
        <v>463</v>
      </c>
      <c r="DO35" s="537">
        <v>365</v>
      </c>
      <c r="DP35" s="538">
        <f t="shared" si="60"/>
        <v>0.66237482117310442</v>
      </c>
      <c r="DQ35" s="538">
        <f t="shared" si="61"/>
        <v>0.93535353535353538</v>
      </c>
      <c r="DR35" s="538">
        <v>0.66237482117310442</v>
      </c>
      <c r="DS35" s="539">
        <v>0.93535353535353538</v>
      </c>
      <c r="DT35" s="536">
        <v>935</v>
      </c>
      <c r="DU35" s="537">
        <v>716</v>
      </c>
      <c r="DV35" s="537">
        <v>484</v>
      </c>
      <c r="DW35" s="537">
        <v>463</v>
      </c>
      <c r="DX35" s="537">
        <v>355</v>
      </c>
      <c r="DY35" s="538">
        <f t="shared" si="62"/>
        <v>0.6466480446927374</v>
      </c>
      <c r="DZ35" s="538">
        <f t="shared" si="63"/>
        <v>0.95661157024793386</v>
      </c>
      <c r="EA35" s="538">
        <v>0.6466480446927374</v>
      </c>
      <c r="EB35" s="539">
        <v>0.95661157024793386</v>
      </c>
    </row>
    <row r="36" spans="1:132" s="2" customFormat="1" ht="15" customHeight="1" x14ac:dyDescent="0.25">
      <c r="A36" s="503" t="s">
        <v>202</v>
      </c>
      <c r="B36" s="504" t="s">
        <v>204</v>
      </c>
      <c r="C36" s="540" t="s">
        <v>589</v>
      </c>
      <c r="D36" s="541">
        <v>304</v>
      </c>
      <c r="E36" s="542">
        <v>284</v>
      </c>
      <c r="F36" s="542">
        <v>230</v>
      </c>
      <c r="G36" s="542">
        <v>229</v>
      </c>
      <c r="H36" s="542">
        <v>201</v>
      </c>
      <c r="I36" s="543">
        <f t="shared" si="28"/>
        <v>0.80633802816901412</v>
      </c>
      <c r="J36" s="544">
        <f t="shared" si="29"/>
        <v>0.9956521739130435</v>
      </c>
      <c r="K36" s="541">
        <v>395</v>
      </c>
      <c r="L36" s="542">
        <v>369</v>
      </c>
      <c r="M36" s="542">
        <v>369</v>
      </c>
      <c r="N36" s="542">
        <v>344</v>
      </c>
      <c r="O36" s="542">
        <v>282</v>
      </c>
      <c r="P36" s="543">
        <f t="shared" si="34"/>
        <v>0.9322493224932249</v>
      </c>
      <c r="Q36" s="544">
        <f t="shared" si="35"/>
        <v>0.9322493224932249</v>
      </c>
      <c r="R36" s="541">
        <v>599</v>
      </c>
      <c r="S36" s="542">
        <v>530</v>
      </c>
      <c r="T36" s="542">
        <v>530</v>
      </c>
      <c r="U36" s="542">
        <v>463</v>
      </c>
      <c r="V36" s="542">
        <v>391</v>
      </c>
      <c r="W36" s="543">
        <f t="shared" si="32"/>
        <v>0.87358490566037739</v>
      </c>
      <c r="X36" s="544">
        <f t="shared" si="33"/>
        <v>0.87358490566037739</v>
      </c>
      <c r="Y36" s="541">
        <v>589</v>
      </c>
      <c r="Z36" s="542">
        <v>535</v>
      </c>
      <c r="AA36" s="542">
        <v>535</v>
      </c>
      <c r="AB36" s="542">
        <v>472</v>
      </c>
      <c r="AC36" s="542">
        <v>399</v>
      </c>
      <c r="AD36" s="543">
        <f t="shared" si="36"/>
        <v>0.88224299065420564</v>
      </c>
      <c r="AE36" s="544">
        <f t="shared" si="37"/>
        <v>0.88224299065420564</v>
      </c>
      <c r="AF36" s="541">
        <v>649</v>
      </c>
      <c r="AG36" s="542">
        <v>580</v>
      </c>
      <c r="AH36" s="542">
        <v>580</v>
      </c>
      <c r="AI36" s="542">
        <v>488</v>
      </c>
      <c r="AJ36" s="542">
        <v>410</v>
      </c>
      <c r="AK36" s="543">
        <f t="shared" si="38"/>
        <v>0.8413793103448276</v>
      </c>
      <c r="AL36" s="544">
        <f t="shared" si="39"/>
        <v>0.8413793103448276</v>
      </c>
      <c r="AM36" s="541">
        <v>469</v>
      </c>
      <c r="AN36" s="542">
        <v>439</v>
      </c>
      <c r="AO36" s="542">
        <v>439</v>
      </c>
      <c r="AP36" s="542">
        <v>406</v>
      </c>
      <c r="AQ36" s="542">
        <v>346</v>
      </c>
      <c r="AR36" s="543">
        <f t="shared" si="40"/>
        <v>0.9248291571753986</v>
      </c>
      <c r="AS36" s="544">
        <f t="shared" si="41"/>
        <v>0.9248291571753986</v>
      </c>
      <c r="AT36" s="541">
        <v>485</v>
      </c>
      <c r="AU36" s="542">
        <v>447</v>
      </c>
      <c r="AV36" s="542">
        <v>447</v>
      </c>
      <c r="AW36" s="542">
        <v>406</v>
      </c>
      <c r="AX36" s="542">
        <v>324</v>
      </c>
      <c r="AY36" s="543">
        <f t="shared" si="42"/>
        <v>0.90827740492170017</v>
      </c>
      <c r="AZ36" s="544">
        <f t="shared" si="43"/>
        <v>0.90827740492170017</v>
      </c>
      <c r="BA36" s="541">
        <v>392</v>
      </c>
      <c r="BB36" s="542">
        <v>368</v>
      </c>
      <c r="BC36" s="542">
        <v>368</v>
      </c>
      <c r="BD36" s="542">
        <v>337</v>
      </c>
      <c r="BE36" s="542">
        <v>279</v>
      </c>
      <c r="BF36" s="543">
        <f t="shared" si="44"/>
        <v>0.91576086956521741</v>
      </c>
      <c r="BG36" s="544">
        <f t="shared" si="45"/>
        <v>0.91576086956521741</v>
      </c>
      <c r="BH36" s="541">
        <v>360</v>
      </c>
      <c r="BI36" s="542">
        <v>329</v>
      </c>
      <c r="BJ36" s="542">
        <v>329</v>
      </c>
      <c r="BK36" s="542">
        <v>273</v>
      </c>
      <c r="BL36" s="542">
        <v>237</v>
      </c>
      <c r="BM36" s="543">
        <f t="shared" si="46"/>
        <v>0.82978723404255317</v>
      </c>
      <c r="BN36" s="544">
        <f t="shared" si="47"/>
        <v>0.82978723404255317</v>
      </c>
      <c r="BO36" s="541">
        <v>376</v>
      </c>
      <c r="BP36" s="542">
        <v>345</v>
      </c>
      <c r="BQ36" s="542">
        <v>345</v>
      </c>
      <c r="BR36" s="542">
        <v>283</v>
      </c>
      <c r="BS36" s="542">
        <v>256</v>
      </c>
      <c r="BT36" s="543">
        <f t="shared" si="48"/>
        <v>0.82028985507246377</v>
      </c>
      <c r="BU36" s="544">
        <f t="shared" si="49"/>
        <v>0.82028985507246377</v>
      </c>
      <c r="BV36" s="541">
        <v>387</v>
      </c>
      <c r="BW36" s="542">
        <v>344</v>
      </c>
      <c r="BX36" s="542">
        <v>344</v>
      </c>
      <c r="BY36" s="542">
        <v>274</v>
      </c>
      <c r="BZ36" s="542">
        <v>249</v>
      </c>
      <c r="CA36" s="543">
        <f t="shared" si="50"/>
        <v>0.79651162790697672</v>
      </c>
      <c r="CB36" s="544">
        <f t="shared" si="51"/>
        <v>0.79651162790697672</v>
      </c>
      <c r="CC36" s="541">
        <v>423</v>
      </c>
      <c r="CD36" s="542">
        <v>383</v>
      </c>
      <c r="CE36" s="542">
        <v>383</v>
      </c>
      <c r="CF36" s="542">
        <v>316</v>
      </c>
      <c r="CG36" s="542">
        <v>290</v>
      </c>
      <c r="CH36" s="543">
        <f t="shared" si="52"/>
        <v>0.82506527415143605</v>
      </c>
      <c r="CI36" s="544">
        <f t="shared" si="53"/>
        <v>0.82506527415143605</v>
      </c>
      <c r="CJ36" s="541">
        <v>420</v>
      </c>
      <c r="CK36" s="542">
        <v>375</v>
      </c>
      <c r="CL36" s="542">
        <v>375</v>
      </c>
      <c r="CM36" s="542">
        <v>299</v>
      </c>
      <c r="CN36" s="542">
        <v>267</v>
      </c>
      <c r="CO36" s="543">
        <f t="shared" si="54"/>
        <v>0.79733333333333334</v>
      </c>
      <c r="CP36" s="543">
        <f t="shared" si="55"/>
        <v>0.79733333333333334</v>
      </c>
      <c r="CQ36" s="543">
        <v>1</v>
      </c>
      <c r="CR36" s="544">
        <v>1</v>
      </c>
      <c r="CS36" s="541">
        <v>311</v>
      </c>
      <c r="CT36" s="542">
        <v>264</v>
      </c>
      <c r="CU36" s="542">
        <v>264</v>
      </c>
      <c r="CV36" s="542">
        <v>215</v>
      </c>
      <c r="CW36" s="542">
        <v>186</v>
      </c>
      <c r="CX36" s="543">
        <f t="shared" si="56"/>
        <v>0.81439393939393945</v>
      </c>
      <c r="CY36" s="543">
        <f t="shared" si="57"/>
        <v>0.81439393939393945</v>
      </c>
      <c r="CZ36" s="543">
        <v>1</v>
      </c>
      <c r="DA36" s="544">
        <v>1</v>
      </c>
      <c r="DB36" s="541">
        <v>336</v>
      </c>
      <c r="DC36" s="542">
        <v>276</v>
      </c>
      <c r="DD36" s="542">
        <v>276</v>
      </c>
      <c r="DE36" s="542">
        <v>224</v>
      </c>
      <c r="DF36" s="542">
        <v>197</v>
      </c>
      <c r="DG36" s="543">
        <f t="shared" si="58"/>
        <v>0.81159420289855078</v>
      </c>
      <c r="DH36" s="543">
        <f t="shared" si="59"/>
        <v>0.81159420289855078</v>
      </c>
      <c r="DI36" s="543">
        <v>1</v>
      </c>
      <c r="DJ36" s="544">
        <v>1</v>
      </c>
      <c r="DK36" s="541">
        <v>380</v>
      </c>
      <c r="DL36" s="542">
        <v>319</v>
      </c>
      <c r="DM36" s="542">
        <v>319</v>
      </c>
      <c r="DN36" s="542">
        <v>265</v>
      </c>
      <c r="DO36" s="542">
        <v>229</v>
      </c>
      <c r="DP36" s="543">
        <f t="shared" si="60"/>
        <v>0.83072100313479624</v>
      </c>
      <c r="DQ36" s="543">
        <f t="shared" si="61"/>
        <v>0.83072100313479624</v>
      </c>
      <c r="DR36" s="543">
        <v>1</v>
      </c>
      <c r="DS36" s="544">
        <v>1</v>
      </c>
      <c r="DT36" s="541">
        <v>412</v>
      </c>
      <c r="DU36" s="542">
        <v>322</v>
      </c>
      <c r="DV36" s="542">
        <v>322</v>
      </c>
      <c r="DW36" s="542">
        <v>250</v>
      </c>
      <c r="DX36" s="542">
        <v>218</v>
      </c>
      <c r="DY36" s="543">
        <f t="shared" si="62"/>
        <v>0.77639751552795033</v>
      </c>
      <c r="DZ36" s="543">
        <f t="shared" si="63"/>
        <v>0.77639751552795033</v>
      </c>
      <c r="EA36" s="543">
        <v>0.99068322981366463</v>
      </c>
      <c r="EB36" s="544">
        <v>0.99068322981366463</v>
      </c>
    </row>
    <row r="37" spans="1:132" s="2" customFormat="1" x14ac:dyDescent="0.25">
      <c r="A37" s="503" t="s">
        <v>202</v>
      </c>
      <c r="B37" s="504" t="s">
        <v>205</v>
      </c>
      <c r="C37" s="505" t="s">
        <v>180</v>
      </c>
      <c r="D37" s="506">
        <v>3267</v>
      </c>
      <c r="E37" s="507">
        <v>2565</v>
      </c>
      <c r="F37" s="507">
        <v>2253</v>
      </c>
      <c r="G37" s="507">
        <v>1477</v>
      </c>
      <c r="H37" s="507">
        <v>1129</v>
      </c>
      <c r="I37" s="508">
        <f t="shared" si="28"/>
        <v>0.57582846003898636</v>
      </c>
      <c r="J37" s="509">
        <f t="shared" si="29"/>
        <v>0.65557035064358637</v>
      </c>
      <c r="K37" s="506">
        <v>3857</v>
      </c>
      <c r="L37" s="507">
        <v>2939</v>
      </c>
      <c r="M37" s="507">
        <v>2654</v>
      </c>
      <c r="N37" s="507">
        <v>1829</v>
      </c>
      <c r="O37" s="507">
        <v>1422</v>
      </c>
      <c r="P37" s="508">
        <f t="shared" si="34"/>
        <v>0.62232051718271519</v>
      </c>
      <c r="Q37" s="509">
        <f t="shared" si="35"/>
        <v>0.68914845516201961</v>
      </c>
      <c r="R37" s="506">
        <v>3670</v>
      </c>
      <c r="S37" s="507">
        <v>2852</v>
      </c>
      <c r="T37" s="507">
        <v>2498</v>
      </c>
      <c r="U37" s="507">
        <v>1304</v>
      </c>
      <c r="V37" s="507">
        <v>1037</v>
      </c>
      <c r="W37" s="508">
        <f t="shared" si="32"/>
        <v>0.45722300140252453</v>
      </c>
      <c r="X37" s="509">
        <f t="shared" si="33"/>
        <v>0.52201761409127301</v>
      </c>
      <c r="Y37" s="506">
        <v>2941</v>
      </c>
      <c r="Z37" s="507">
        <v>2308</v>
      </c>
      <c r="AA37" s="507">
        <v>1963</v>
      </c>
      <c r="AB37" s="507">
        <v>1278</v>
      </c>
      <c r="AC37" s="507">
        <v>1032</v>
      </c>
      <c r="AD37" s="508">
        <f t="shared" si="36"/>
        <v>0.55372616984402079</v>
      </c>
      <c r="AE37" s="509">
        <f t="shared" si="37"/>
        <v>0.6510443199184921</v>
      </c>
      <c r="AF37" s="506">
        <v>2642</v>
      </c>
      <c r="AG37" s="507">
        <v>2098</v>
      </c>
      <c r="AH37" s="507">
        <v>1801</v>
      </c>
      <c r="AI37" s="507">
        <v>1088</v>
      </c>
      <c r="AJ37" s="507">
        <v>878</v>
      </c>
      <c r="AK37" s="508">
        <f t="shared" si="38"/>
        <v>0.51858913250714966</v>
      </c>
      <c r="AL37" s="509">
        <f t="shared" si="39"/>
        <v>0.60410882842865077</v>
      </c>
      <c r="AM37" s="506">
        <v>2278</v>
      </c>
      <c r="AN37" s="507">
        <v>1844</v>
      </c>
      <c r="AO37" s="507">
        <v>1645</v>
      </c>
      <c r="AP37" s="507">
        <v>1050</v>
      </c>
      <c r="AQ37" s="507">
        <v>856</v>
      </c>
      <c r="AR37" s="508">
        <f t="shared" si="40"/>
        <v>0.56941431670281994</v>
      </c>
      <c r="AS37" s="509">
        <f t="shared" si="41"/>
        <v>0.63829787234042556</v>
      </c>
      <c r="AT37" s="506">
        <v>2507</v>
      </c>
      <c r="AU37" s="507">
        <v>2100</v>
      </c>
      <c r="AV37" s="507">
        <v>1726</v>
      </c>
      <c r="AW37" s="507">
        <v>933</v>
      </c>
      <c r="AX37" s="507">
        <v>770</v>
      </c>
      <c r="AY37" s="508">
        <f t="shared" si="42"/>
        <v>0.44428571428571428</v>
      </c>
      <c r="AZ37" s="509">
        <f t="shared" si="43"/>
        <v>0.54055619930475085</v>
      </c>
      <c r="BA37" s="506">
        <v>1980</v>
      </c>
      <c r="BB37" s="507">
        <v>1607</v>
      </c>
      <c r="BC37" s="507">
        <v>1338</v>
      </c>
      <c r="BD37" s="507">
        <v>841</v>
      </c>
      <c r="BE37" s="507">
        <v>671</v>
      </c>
      <c r="BF37" s="508">
        <f t="shared" si="44"/>
        <v>0.52333540759178598</v>
      </c>
      <c r="BG37" s="509">
        <f t="shared" si="45"/>
        <v>0.62855007473841551</v>
      </c>
      <c r="BH37" s="506">
        <v>2027</v>
      </c>
      <c r="BI37" s="507">
        <v>1578</v>
      </c>
      <c r="BJ37" s="507">
        <v>1300</v>
      </c>
      <c r="BK37" s="507">
        <v>886</v>
      </c>
      <c r="BL37" s="507">
        <v>678</v>
      </c>
      <c r="BM37" s="508">
        <f t="shared" si="46"/>
        <v>0.56147021546261089</v>
      </c>
      <c r="BN37" s="509">
        <f t="shared" si="47"/>
        <v>0.68153846153846154</v>
      </c>
      <c r="BO37" s="506">
        <v>1932</v>
      </c>
      <c r="BP37" s="507">
        <v>1526</v>
      </c>
      <c r="BQ37" s="507">
        <v>1292</v>
      </c>
      <c r="BR37" s="507">
        <v>911</v>
      </c>
      <c r="BS37" s="507">
        <v>745</v>
      </c>
      <c r="BT37" s="508">
        <f t="shared" si="48"/>
        <v>0.59698558322411532</v>
      </c>
      <c r="BU37" s="509">
        <f t="shared" si="49"/>
        <v>0.70510835913312697</v>
      </c>
      <c r="BV37" s="506">
        <v>2038</v>
      </c>
      <c r="BW37" s="507">
        <v>1578</v>
      </c>
      <c r="BX37" s="507">
        <v>1351</v>
      </c>
      <c r="BY37" s="507">
        <v>967</v>
      </c>
      <c r="BZ37" s="507">
        <v>756</v>
      </c>
      <c r="CA37" s="508">
        <f t="shared" si="50"/>
        <v>0.61280101394169839</v>
      </c>
      <c r="CB37" s="509">
        <f t="shared" si="51"/>
        <v>0.71576609918578826</v>
      </c>
      <c r="CC37" s="506">
        <v>2260</v>
      </c>
      <c r="CD37" s="507">
        <v>1795</v>
      </c>
      <c r="CE37" s="507">
        <v>1569</v>
      </c>
      <c r="CF37" s="507">
        <v>858</v>
      </c>
      <c r="CG37" s="507">
        <v>737</v>
      </c>
      <c r="CH37" s="508">
        <f t="shared" si="52"/>
        <v>0.47799442896935934</v>
      </c>
      <c r="CI37" s="509">
        <f t="shared" si="53"/>
        <v>0.54684512428298282</v>
      </c>
      <c r="CJ37" s="506">
        <v>2123</v>
      </c>
      <c r="CK37" s="507">
        <v>1659</v>
      </c>
      <c r="CL37" s="507">
        <v>1244</v>
      </c>
      <c r="CM37" s="507">
        <v>690</v>
      </c>
      <c r="CN37" s="507">
        <v>582</v>
      </c>
      <c r="CO37" s="508">
        <f t="shared" si="54"/>
        <v>0.41591320072332733</v>
      </c>
      <c r="CP37" s="508">
        <f t="shared" si="55"/>
        <v>0.55466237942122187</v>
      </c>
      <c r="CQ37" s="508">
        <v>0.4605183845690175</v>
      </c>
      <c r="CR37" s="509">
        <v>0.61414790996784563</v>
      </c>
      <c r="CS37" s="506">
        <v>2017</v>
      </c>
      <c r="CT37" s="507">
        <v>1593</v>
      </c>
      <c r="CU37" s="507">
        <v>1306</v>
      </c>
      <c r="CV37" s="507">
        <v>833</v>
      </c>
      <c r="CW37" s="507">
        <v>696</v>
      </c>
      <c r="CX37" s="508">
        <f t="shared" si="56"/>
        <v>0.52291274325172632</v>
      </c>
      <c r="CY37" s="508">
        <f t="shared" si="57"/>
        <v>0.63782542113323126</v>
      </c>
      <c r="CZ37" s="508">
        <v>0.57940991839296929</v>
      </c>
      <c r="DA37" s="509">
        <v>0.70673813169984689</v>
      </c>
      <c r="DB37" s="506">
        <v>2549</v>
      </c>
      <c r="DC37" s="507">
        <v>1952</v>
      </c>
      <c r="DD37" s="507">
        <v>1649</v>
      </c>
      <c r="DE37" s="507">
        <v>947</v>
      </c>
      <c r="DF37" s="507">
        <v>737</v>
      </c>
      <c r="DG37" s="508">
        <f t="shared" si="58"/>
        <v>0.48514344262295084</v>
      </c>
      <c r="DH37" s="508">
        <f t="shared" si="59"/>
        <v>0.57428744693753786</v>
      </c>
      <c r="DI37" s="508">
        <v>0.51434426229508201</v>
      </c>
      <c r="DJ37" s="509">
        <v>0.60885385081867793</v>
      </c>
      <c r="DK37" s="506">
        <v>2318</v>
      </c>
      <c r="DL37" s="507">
        <v>1761</v>
      </c>
      <c r="DM37" s="507">
        <v>1492</v>
      </c>
      <c r="DN37" s="507">
        <v>955</v>
      </c>
      <c r="DO37" s="507">
        <v>760</v>
      </c>
      <c r="DP37" s="508">
        <f t="shared" si="60"/>
        <v>0.54230550823395796</v>
      </c>
      <c r="DQ37" s="508">
        <f t="shared" si="61"/>
        <v>0.64008042895442363</v>
      </c>
      <c r="DR37" s="508">
        <v>0.60136286201022149</v>
      </c>
      <c r="DS37" s="509">
        <v>0.70978552278820373</v>
      </c>
      <c r="DT37" s="506">
        <v>2615</v>
      </c>
      <c r="DU37" s="507">
        <v>1895</v>
      </c>
      <c r="DV37" s="507">
        <v>1580</v>
      </c>
      <c r="DW37" s="507">
        <v>973</v>
      </c>
      <c r="DX37" s="507">
        <v>791</v>
      </c>
      <c r="DY37" s="508">
        <f t="shared" si="62"/>
        <v>0.51345646437994719</v>
      </c>
      <c r="DZ37" s="508">
        <f t="shared" si="63"/>
        <v>0.61582278481012653</v>
      </c>
      <c r="EA37" s="508">
        <v>0.5535620052770448</v>
      </c>
      <c r="EB37" s="509">
        <v>0.66392405063291138</v>
      </c>
    </row>
    <row r="38" spans="1:132" s="2" customFormat="1" x14ac:dyDescent="0.25">
      <c r="A38" s="503" t="s">
        <v>202</v>
      </c>
      <c r="B38" s="504" t="s">
        <v>206</v>
      </c>
      <c r="C38" s="505" t="s">
        <v>176</v>
      </c>
      <c r="D38" s="545">
        <v>1067</v>
      </c>
      <c r="E38" s="546">
        <v>913</v>
      </c>
      <c r="F38" s="546">
        <v>787</v>
      </c>
      <c r="G38" s="546">
        <v>591</v>
      </c>
      <c r="H38" s="546">
        <v>427</v>
      </c>
      <c r="I38" s="547">
        <f t="shared" si="28"/>
        <v>0.64731653888280394</v>
      </c>
      <c r="J38" s="548">
        <f t="shared" si="29"/>
        <v>0.75095298602287164</v>
      </c>
      <c r="K38" s="545">
        <v>1105</v>
      </c>
      <c r="L38" s="546">
        <v>938</v>
      </c>
      <c r="M38" s="546">
        <v>874</v>
      </c>
      <c r="N38" s="546">
        <v>681</v>
      </c>
      <c r="O38" s="546">
        <v>491</v>
      </c>
      <c r="P38" s="547">
        <f t="shared" si="34"/>
        <v>0.72601279317697232</v>
      </c>
      <c r="Q38" s="548">
        <f t="shared" si="35"/>
        <v>0.7791762013729977</v>
      </c>
      <c r="R38" s="545">
        <v>1085</v>
      </c>
      <c r="S38" s="546">
        <v>946</v>
      </c>
      <c r="T38" s="546">
        <v>865</v>
      </c>
      <c r="U38" s="546">
        <v>599</v>
      </c>
      <c r="V38" s="546">
        <v>461</v>
      </c>
      <c r="W38" s="547">
        <f t="shared" si="32"/>
        <v>0.63319238900634245</v>
      </c>
      <c r="X38" s="548">
        <f t="shared" si="33"/>
        <v>0.69248554913294802</v>
      </c>
      <c r="Y38" s="545">
        <v>993</v>
      </c>
      <c r="Z38" s="546">
        <v>843</v>
      </c>
      <c r="AA38" s="546">
        <v>766</v>
      </c>
      <c r="AB38" s="546">
        <v>564</v>
      </c>
      <c r="AC38" s="546">
        <v>418</v>
      </c>
      <c r="AD38" s="547">
        <f t="shared" si="36"/>
        <v>0.66903914590747326</v>
      </c>
      <c r="AE38" s="548">
        <f t="shared" si="37"/>
        <v>0.73629242819843344</v>
      </c>
      <c r="AF38" s="545">
        <v>1070</v>
      </c>
      <c r="AG38" s="546">
        <v>913</v>
      </c>
      <c r="AH38" s="546">
        <v>841</v>
      </c>
      <c r="AI38" s="546">
        <v>623</v>
      </c>
      <c r="AJ38" s="546">
        <v>459</v>
      </c>
      <c r="AK38" s="547">
        <f t="shared" si="38"/>
        <v>0.68236582694414016</v>
      </c>
      <c r="AL38" s="548">
        <f t="shared" si="39"/>
        <v>0.74078478002378123</v>
      </c>
      <c r="AM38" s="545">
        <v>981</v>
      </c>
      <c r="AN38" s="546">
        <v>827</v>
      </c>
      <c r="AO38" s="546">
        <v>764</v>
      </c>
      <c r="AP38" s="546">
        <v>583</v>
      </c>
      <c r="AQ38" s="546">
        <v>424</v>
      </c>
      <c r="AR38" s="547">
        <f t="shared" si="40"/>
        <v>0.70495767835550183</v>
      </c>
      <c r="AS38" s="548">
        <f t="shared" si="41"/>
        <v>0.76308900523560208</v>
      </c>
      <c r="AT38" s="545">
        <v>755</v>
      </c>
      <c r="AU38" s="546">
        <v>639</v>
      </c>
      <c r="AV38" s="546">
        <v>567</v>
      </c>
      <c r="AW38" s="546">
        <v>449</v>
      </c>
      <c r="AX38" s="546">
        <v>312</v>
      </c>
      <c r="AY38" s="547">
        <f t="shared" si="42"/>
        <v>0.70266040688575904</v>
      </c>
      <c r="AZ38" s="548">
        <f t="shared" si="43"/>
        <v>0.79188712522045857</v>
      </c>
      <c r="BA38" s="545">
        <v>677</v>
      </c>
      <c r="BB38" s="546">
        <v>573</v>
      </c>
      <c r="BC38" s="546">
        <v>503</v>
      </c>
      <c r="BD38" s="546">
        <v>414</v>
      </c>
      <c r="BE38" s="546">
        <v>328</v>
      </c>
      <c r="BF38" s="547">
        <f t="shared" si="44"/>
        <v>0.72251308900523559</v>
      </c>
      <c r="BG38" s="548">
        <f t="shared" si="45"/>
        <v>0.82306163021868783</v>
      </c>
      <c r="BH38" s="545">
        <v>750</v>
      </c>
      <c r="BI38" s="546">
        <v>631</v>
      </c>
      <c r="BJ38" s="546">
        <v>566</v>
      </c>
      <c r="BK38" s="546">
        <v>421</v>
      </c>
      <c r="BL38" s="546">
        <v>315</v>
      </c>
      <c r="BM38" s="547">
        <f t="shared" si="46"/>
        <v>0.6671949286846276</v>
      </c>
      <c r="BN38" s="548">
        <f t="shared" si="47"/>
        <v>0.74381625441696109</v>
      </c>
      <c r="BO38" s="545">
        <v>761</v>
      </c>
      <c r="BP38" s="546">
        <v>650</v>
      </c>
      <c r="BQ38" s="546">
        <v>591</v>
      </c>
      <c r="BR38" s="546">
        <v>483</v>
      </c>
      <c r="BS38" s="546">
        <v>341</v>
      </c>
      <c r="BT38" s="547">
        <f t="shared" si="48"/>
        <v>0.74307692307692308</v>
      </c>
      <c r="BU38" s="548">
        <f t="shared" si="49"/>
        <v>0.81725888324873097</v>
      </c>
      <c r="BV38" s="545">
        <v>695</v>
      </c>
      <c r="BW38" s="546">
        <v>629</v>
      </c>
      <c r="BX38" s="546">
        <v>581</v>
      </c>
      <c r="BY38" s="546">
        <v>486</v>
      </c>
      <c r="BZ38" s="546">
        <v>361</v>
      </c>
      <c r="CA38" s="547">
        <f t="shared" si="50"/>
        <v>0.77265500794912556</v>
      </c>
      <c r="CB38" s="548">
        <f t="shared" si="51"/>
        <v>0.83648881239242689</v>
      </c>
      <c r="CC38" s="545">
        <v>740</v>
      </c>
      <c r="CD38" s="546">
        <v>663</v>
      </c>
      <c r="CE38" s="546">
        <v>605</v>
      </c>
      <c r="CF38" s="546">
        <v>497</v>
      </c>
      <c r="CG38" s="546">
        <v>411</v>
      </c>
      <c r="CH38" s="547">
        <f t="shared" si="52"/>
        <v>0.74962292609351433</v>
      </c>
      <c r="CI38" s="548">
        <f t="shared" si="53"/>
        <v>0.82148760330578507</v>
      </c>
      <c r="CJ38" s="545">
        <v>734</v>
      </c>
      <c r="CK38" s="546">
        <v>632</v>
      </c>
      <c r="CL38" s="546">
        <v>555</v>
      </c>
      <c r="CM38" s="546">
        <v>450</v>
      </c>
      <c r="CN38" s="546">
        <v>380</v>
      </c>
      <c r="CO38" s="547">
        <f t="shared" si="54"/>
        <v>0.71202531645569622</v>
      </c>
      <c r="CP38" s="547">
        <f t="shared" si="55"/>
        <v>0.81081081081081086</v>
      </c>
      <c r="CQ38" s="547">
        <v>0.81170886075949367</v>
      </c>
      <c r="CR38" s="548">
        <v>0.92432432432432432</v>
      </c>
      <c r="CS38" s="545">
        <v>838</v>
      </c>
      <c r="CT38" s="546">
        <v>745</v>
      </c>
      <c r="CU38" s="546">
        <v>725</v>
      </c>
      <c r="CV38" s="546">
        <v>609</v>
      </c>
      <c r="CW38" s="546">
        <v>482</v>
      </c>
      <c r="CX38" s="547">
        <f t="shared" si="56"/>
        <v>0.81744966442953015</v>
      </c>
      <c r="CY38" s="547">
        <f t="shared" si="57"/>
        <v>0.84</v>
      </c>
      <c r="CZ38" s="547">
        <v>0.93959731543624159</v>
      </c>
      <c r="DA38" s="548">
        <v>0.96551724137931039</v>
      </c>
      <c r="DB38" s="545">
        <v>903</v>
      </c>
      <c r="DC38" s="546">
        <v>815</v>
      </c>
      <c r="DD38" s="546">
        <v>783</v>
      </c>
      <c r="DE38" s="546">
        <v>602</v>
      </c>
      <c r="DF38" s="546">
        <v>487</v>
      </c>
      <c r="DG38" s="547">
        <f t="shared" si="58"/>
        <v>0.73865030674846621</v>
      </c>
      <c r="DH38" s="547">
        <f t="shared" si="59"/>
        <v>0.76883780332056195</v>
      </c>
      <c r="DI38" s="547">
        <v>0.90306748466257669</v>
      </c>
      <c r="DJ38" s="548">
        <v>0.9399744572158365</v>
      </c>
      <c r="DK38" s="545">
        <v>968</v>
      </c>
      <c r="DL38" s="546">
        <v>845</v>
      </c>
      <c r="DM38" s="546">
        <v>691</v>
      </c>
      <c r="DN38" s="546">
        <v>636</v>
      </c>
      <c r="DO38" s="546">
        <v>508</v>
      </c>
      <c r="DP38" s="547">
        <f t="shared" si="60"/>
        <v>0.75266272189349115</v>
      </c>
      <c r="DQ38" s="547">
        <f t="shared" si="61"/>
        <v>0.92040520984081042</v>
      </c>
      <c r="DR38" s="547">
        <v>0.75266272189349115</v>
      </c>
      <c r="DS38" s="548">
        <v>0.92040520984081042</v>
      </c>
      <c r="DT38" s="545">
        <v>952</v>
      </c>
      <c r="DU38" s="546">
        <v>844</v>
      </c>
      <c r="DV38" s="546">
        <v>642</v>
      </c>
      <c r="DW38" s="546">
        <v>600</v>
      </c>
      <c r="DX38" s="546">
        <v>473</v>
      </c>
      <c r="DY38" s="547">
        <f t="shared" si="62"/>
        <v>0.7109004739336493</v>
      </c>
      <c r="DZ38" s="547">
        <f t="shared" si="63"/>
        <v>0.93457943925233644</v>
      </c>
      <c r="EA38" s="547">
        <v>0.7109004739336493</v>
      </c>
      <c r="EB38" s="548">
        <v>0.93457943925233644</v>
      </c>
    </row>
    <row r="39" spans="1:132" s="2" customFormat="1" x14ac:dyDescent="0.25">
      <c r="A39" s="503" t="s">
        <v>202</v>
      </c>
      <c r="B39" s="549" t="s">
        <v>207</v>
      </c>
      <c r="C39" s="505" t="s">
        <v>208</v>
      </c>
      <c r="D39" s="545"/>
      <c r="E39" s="546"/>
      <c r="F39" s="546"/>
      <c r="G39" s="546"/>
      <c r="H39" s="546"/>
      <c r="I39" s="547"/>
      <c r="J39" s="548"/>
      <c r="K39" s="550" t="s">
        <v>67</v>
      </c>
      <c r="L39" s="507" t="s">
        <v>67</v>
      </c>
      <c r="M39" s="507" t="s">
        <v>67</v>
      </c>
      <c r="N39" s="507" t="s">
        <v>67</v>
      </c>
      <c r="O39" s="507" t="s">
        <v>67</v>
      </c>
      <c r="P39" s="508" t="s">
        <v>67</v>
      </c>
      <c r="Q39" s="509" t="s">
        <v>67</v>
      </c>
      <c r="R39" s="550" t="s">
        <v>67</v>
      </c>
      <c r="S39" s="507" t="s">
        <v>67</v>
      </c>
      <c r="T39" s="507" t="s">
        <v>67</v>
      </c>
      <c r="U39" s="507" t="s">
        <v>67</v>
      </c>
      <c r="V39" s="507" t="s">
        <v>67</v>
      </c>
      <c r="W39" s="508" t="s">
        <v>67</v>
      </c>
      <c r="X39" s="509" t="s">
        <v>67</v>
      </c>
      <c r="Y39" s="545">
        <v>719</v>
      </c>
      <c r="Z39" s="546">
        <v>581</v>
      </c>
      <c r="AA39" s="546">
        <v>505</v>
      </c>
      <c r="AB39" s="546">
        <v>272</v>
      </c>
      <c r="AC39" s="546">
        <v>204</v>
      </c>
      <c r="AD39" s="547">
        <f t="shared" si="36"/>
        <v>0.46815834767641995</v>
      </c>
      <c r="AE39" s="548">
        <f t="shared" si="37"/>
        <v>0.53861386138613865</v>
      </c>
      <c r="AF39" s="545">
        <v>813</v>
      </c>
      <c r="AG39" s="546">
        <v>660</v>
      </c>
      <c r="AH39" s="546">
        <v>584</v>
      </c>
      <c r="AI39" s="546">
        <v>266</v>
      </c>
      <c r="AJ39" s="546">
        <v>210</v>
      </c>
      <c r="AK39" s="547">
        <f t="shared" si="38"/>
        <v>0.40303030303030302</v>
      </c>
      <c r="AL39" s="548">
        <f t="shared" si="39"/>
        <v>0.45547945205479451</v>
      </c>
      <c r="AM39" s="545">
        <v>739</v>
      </c>
      <c r="AN39" s="546">
        <v>627</v>
      </c>
      <c r="AO39" s="546">
        <v>539</v>
      </c>
      <c r="AP39" s="546">
        <v>266</v>
      </c>
      <c r="AQ39" s="546">
        <v>210</v>
      </c>
      <c r="AR39" s="547">
        <f t="shared" si="40"/>
        <v>0.42424242424242425</v>
      </c>
      <c r="AS39" s="548">
        <f t="shared" si="41"/>
        <v>0.4935064935064935</v>
      </c>
      <c r="AT39" s="545">
        <v>789</v>
      </c>
      <c r="AU39" s="546">
        <v>671</v>
      </c>
      <c r="AV39" s="546">
        <v>532</v>
      </c>
      <c r="AW39" s="546">
        <v>276</v>
      </c>
      <c r="AX39" s="546">
        <v>217</v>
      </c>
      <c r="AY39" s="547">
        <f t="shared" si="42"/>
        <v>0.41132637853949328</v>
      </c>
      <c r="AZ39" s="548">
        <f t="shared" si="43"/>
        <v>0.51879699248120303</v>
      </c>
      <c r="BA39" s="545">
        <v>702</v>
      </c>
      <c r="BB39" s="546">
        <v>583</v>
      </c>
      <c r="BC39" s="546">
        <v>492</v>
      </c>
      <c r="BD39" s="546">
        <v>327</v>
      </c>
      <c r="BE39" s="546">
        <v>258</v>
      </c>
      <c r="BF39" s="547">
        <f t="shared" si="44"/>
        <v>0.56089193825042882</v>
      </c>
      <c r="BG39" s="548">
        <f t="shared" si="45"/>
        <v>0.66463414634146345</v>
      </c>
      <c r="BH39" s="545">
        <v>892</v>
      </c>
      <c r="BI39" s="546">
        <v>705</v>
      </c>
      <c r="BJ39" s="546">
        <v>628</v>
      </c>
      <c r="BK39" s="546">
        <v>375</v>
      </c>
      <c r="BL39" s="546">
        <v>299</v>
      </c>
      <c r="BM39" s="547">
        <f t="shared" si="46"/>
        <v>0.53191489361702127</v>
      </c>
      <c r="BN39" s="548">
        <f t="shared" si="47"/>
        <v>0.59713375796178347</v>
      </c>
      <c r="BO39" s="545">
        <v>662</v>
      </c>
      <c r="BP39" s="546">
        <v>536</v>
      </c>
      <c r="BQ39" s="546">
        <v>468</v>
      </c>
      <c r="BR39" s="546">
        <v>320</v>
      </c>
      <c r="BS39" s="546">
        <v>267</v>
      </c>
      <c r="BT39" s="547">
        <f t="shared" si="48"/>
        <v>0.59701492537313428</v>
      </c>
      <c r="BU39" s="548">
        <f t="shared" si="49"/>
        <v>0.68376068376068377</v>
      </c>
      <c r="BV39" s="545">
        <v>769</v>
      </c>
      <c r="BW39" s="546">
        <v>624</v>
      </c>
      <c r="BX39" s="546">
        <v>550</v>
      </c>
      <c r="BY39" s="546">
        <v>370</v>
      </c>
      <c r="BZ39" s="546">
        <v>316</v>
      </c>
      <c r="CA39" s="547">
        <f t="shared" si="50"/>
        <v>0.59294871794871795</v>
      </c>
      <c r="CB39" s="548">
        <f t="shared" si="51"/>
        <v>0.67272727272727273</v>
      </c>
      <c r="CC39" s="545">
        <v>853</v>
      </c>
      <c r="CD39" s="546">
        <v>694</v>
      </c>
      <c r="CE39" s="546">
        <v>617</v>
      </c>
      <c r="CF39" s="546">
        <v>352</v>
      </c>
      <c r="CG39" s="546">
        <v>286</v>
      </c>
      <c r="CH39" s="547">
        <f t="shared" si="52"/>
        <v>0.50720461095100866</v>
      </c>
      <c r="CI39" s="548">
        <f t="shared" si="53"/>
        <v>0.57050243111831445</v>
      </c>
      <c r="CJ39" s="545">
        <v>1167</v>
      </c>
      <c r="CK39" s="546">
        <v>945</v>
      </c>
      <c r="CL39" s="546">
        <v>945</v>
      </c>
      <c r="CM39" s="546">
        <v>509</v>
      </c>
      <c r="CN39" s="546">
        <v>381</v>
      </c>
      <c r="CO39" s="547">
        <f t="shared" si="54"/>
        <v>0.53862433862433867</v>
      </c>
      <c r="CP39" s="547">
        <f t="shared" si="55"/>
        <v>0.53862433862433867</v>
      </c>
      <c r="CQ39" s="547">
        <v>0.68042328042328037</v>
      </c>
      <c r="CR39" s="548">
        <v>0.68042328042328037</v>
      </c>
      <c r="CS39" s="545">
        <v>1004</v>
      </c>
      <c r="CT39" s="546">
        <v>812</v>
      </c>
      <c r="CU39" s="546">
        <v>686</v>
      </c>
      <c r="CV39" s="546">
        <v>441</v>
      </c>
      <c r="CW39" s="546">
        <v>361</v>
      </c>
      <c r="CX39" s="547">
        <f t="shared" si="56"/>
        <v>0.5431034482758621</v>
      </c>
      <c r="CY39" s="547">
        <f t="shared" si="57"/>
        <v>0.6428571428571429</v>
      </c>
      <c r="CZ39" s="547">
        <v>0.63054187192118227</v>
      </c>
      <c r="DA39" s="548">
        <v>0.74635568513119532</v>
      </c>
      <c r="DB39" s="545">
        <v>1215</v>
      </c>
      <c r="DC39" s="546">
        <v>959</v>
      </c>
      <c r="DD39" s="546">
        <v>842</v>
      </c>
      <c r="DE39" s="546">
        <v>519</v>
      </c>
      <c r="DF39" s="546">
        <v>414</v>
      </c>
      <c r="DG39" s="547">
        <f t="shared" si="58"/>
        <v>0.54118873826903025</v>
      </c>
      <c r="DH39" s="547">
        <f t="shared" si="59"/>
        <v>0.61638954869358675</v>
      </c>
      <c r="DI39" s="547">
        <v>0.5922836287799792</v>
      </c>
      <c r="DJ39" s="548">
        <v>0.67458432304038007</v>
      </c>
      <c r="DK39" s="545">
        <v>1472</v>
      </c>
      <c r="DL39" s="546">
        <v>1089</v>
      </c>
      <c r="DM39" s="546">
        <v>945</v>
      </c>
      <c r="DN39" s="546">
        <v>573</v>
      </c>
      <c r="DO39" s="546">
        <v>464</v>
      </c>
      <c r="DP39" s="547">
        <f t="shared" si="60"/>
        <v>0.52617079889807161</v>
      </c>
      <c r="DQ39" s="547">
        <f t="shared" si="61"/>
        <v>0.6063492063492063</v>
      </c>
      <c r="DR39" s="547">
        <v>0.588613406795225</v>
      </c>
      <c r="DS39" s="548">
        <v>0.6783068783068783</v>
      </c>
      <c r="DT39" s="545">
        <v>1489</v>
      </c>
      <c r="DU39" s="546">
        <v>1024</v>
      </c>
      <c r="DV39" s="546">
        <v>918</v>
      </c>
      <c r="DW39" s="546">
        <v>723</v>
      </c>
      <c r="DX39" s="546">
        <v>583</v>
      </c>
      <c r="DY39" s="547">
        <f t="shared" si="62"/>
        <v>0.7060546875</v>
      </c>
      <c r="DZ39" s="547">
        <f t="shared" si="63"/>
        <v>0.78758169934640521</v>
      </c>
      <c r="EA39" s="547">
        <v>0.759765625</v>
      </c>
      <c r="EB39" s="548">
        <v>0.84749455337690627</v>
      </c>
    </row>
    <row r="40" spans="1:132" s="2" customFormat="1" x14ac:dyDescent="0.25">
      <c r="A40" s="503" t="s">
        <v>202</v>
      </c>
      <c r="B40" s="504" t="s">
        <v>209</v>
      </c>
      <c r="C40" s="505" t="s">
        <v>210</v>
      </c>
      <c r="D40" s="506">
        <v>2718</v>
      </c>
      <c r="E40" s="507">
        <v>2178</v>
      </c>
      <c r="F40" s="507">
        <v>1806</v>
      </c>
      <c r="G40" s="507">
        <v>860</v>
      </c>
      <c r="H40" s="507">
        <v>647</v>
      </c>
      <c r="I40" s="508">
        <f t="shared" si="28"/>
        <v>0.39485766758494029</v>
      </c>
      <c r="J40" s="509">
        <f t="shared" si="29"/>
        <v>0.47619047619047616</v>
      </c>
      <c r="K40" s="506">
        <v>2375</v>
      </c>
      <c r="L40" s="507">
        <v>1892</v>
      </c>
      <c r="M40" s="507">
        <v>1563</v>
      </c>
      <c r="N40" s="507">
        <v>767</v>
      </c>
      <c r="O40" s="507">
        <v>616</v>
      </c>
      <c r="P40" s="508">
        <f t="shared" si="34"/>
        <v>0.40539112050739956</v>
      </c>
      <c r="Q40" s="509">
        <f t="shared" si="35"/>
        <v>0.49072296865003201</v>
      </c>
      <c r="R40" s="506">
        <v>2293</v>
      </c>
      <c r="S40" s="507">
        <v>1804</v>
      </c>
      <c r="T40" s="507">
        <v>1550</v>
      </c>
      <c r="U40" s="507">
        <v>733</v>
      </c>
      <c r="V40" s="507">
        <v>617</v>
      </c>
      <c r="W40" s="508">
        <f t="shared" si="32"/>
        <v>0.40631929046563192</v>
      </c>
      <c r="X40" s="509">
        <f t="shared" si="33"/>
        <v>0.47290322580645161</v>
      </c>
      <c r="Y40" s="506">
        <v>1911</v>
      </c>
      <c r="Z40" s="507">
        <v>1544</v>
      </c>
      <c r="AA40" s="507">
        <v>1247</v>
      </c>
      <c r="AB40" s="507">
        <v>701</v>
      </c>
      <c r="AC40" s="507">
        <v>566</v>
      </c>
      <c r="AD40" s="508">
        <f t="shared" si="36"/>
        <v>0.45401554404145078</v>
      </c>
      <c r="AE40" s="509">
        <f t="shared" si="37"/>
        <v>0.56214915797914999</v>
      </c>
      <c r="AF40" s="506">
        <v>1524</v>
      </c>
      <c r="AG40" s="507">
        <v>1251</v>
      </c>
      <c r="AH40" s="507">
        <v>974</v>
      </c>
      <c r="AI40" s="507">
        <v>787</v>
      </c>
      <c r="AJ40" s="507">
        <v>648</v>
      </c>
      <c r="AK40" s="508">
        <f t="shared" si="38"/>
        <v>0.62909672262190253</v>
      </c>
      <c r="AL40" s="509">
        <f t="shared" si="39"/>
        <v>0.80800821355236141</v>
      </c>
      <c r="AM40" s="506">
        <v>1314</v>
      </c>
      <c r="AN40" s="507">
        <v>1122</v>
      </c>
      <c r="AO40" s="507">
        <v>947</v>
      </c>
      <c r="AP40" s="507">
        <v>670</v>
      </c>
      <c r="AQ40" s="507">
        <v>514</v>
      </c>
      <c r="AR40" s="508">
        <f t="shared" si="40"/>
        <v>0.59714795008912658</v>
      </c>
      <c r="AS40" s="509">
        <f t="shared" si="41"/>
        <v>0.70749736008447728</v>
      </c>
      <c r="AT40" s="506">
        <v>1323</v>
      </c>
      <c r="AU40" s="507">
        <v>1195</v>
      </c>
      <c r="AV40" s="507">
        <v>1195</v>
      </c>
      <c r="AW40" s="507">
        <v>781</v>
      </c>
      <c r="AX40" s="507">
        <v>626</v>
      </c>
      <c r="AY40" s="508">
        <f t="shared" si="42"/>
        <v>0.65355648535564859</v>
      </c>
      <c r="AZ40" s="509">
        <f t="shared" si="43"/>
        <v>0.65355648535564859</v>
      </c>
      <c r="BA40" s="506">
        <v>1143</v>
      </c>
      <c r="BB40" s="507">
        <v>1027</v>
      </c>
      <c r="BC40" s="507">
        <v>1027</v>
      </c>
      <c r="BD40" s="507">
        <v>753</v>
      </c>
      <c r="BE40" s="507">
        <v>575</v>
      </c>
      <c r="BF40" s="508">
        <f t="shared" si="44"/>
        <v>0.73320350535540413</v>
      </c>
      <c r="BG40" s="509">
        <f t="shared" si="45"/>
        <v>0.73320350535540413</v>
      </c>
      <c r="BH40" s="506">
        <v>989</v>
      </c>
      <c r="BI40" s="507">
        <v>887</v>
      </c>
      <c r="BJ40" s="507">
        <v>887</v>
      </c>
      <c r="BK40" s="507">
        <v>639</v>
      </c>
      <c r="BL40" s="507">
        <v>493</v>
      </c>
      <c r="BM40" s="508">
        <f t="shared" si="46"/>
        <v>0.72040586245772265</v>
      </c>
      <c r="BN40" s="509">
        <f t="shared" si="47"/>
        <v>0.72040586245772265</v>
      </c>
      <c r="BO40" s="506">
        <v>939</v>
      </c>
      <c r="BP40" s="507">
        <v>852</v>
      </c>
      <c r="BQ40" s="507">
        <v>852</v>
      </c>
      <c r="BR40" s="507">
        <v>620</v>
      </c>
      <c r="BS40" s="507">
        <v>486</v>
      </c>
      <c r="BT40" s="508">
        <f t="shared" si="48"/>
        <v>0.72769953051643188</v>
      </c>
      <c r="BU40" s="509">
        <f t="shared" si="49"/>
        <v>0.72769953051643188</v>
      </c>
      <c r="BV40" s="506">
        <v>932</v>
      </c>
      <c r="BW40" s="507">
        <v>855</v>
      </c>
      <c r="BX40" s="507">
        <v>855</v>
      </c>
      <c r="BY40" s="507">
        <v>634</v>
      </c>
      <c r="BZ40" s="507">
        <v>481</v>
      </c>
      <c r="CA40" s="508">
        <f t="shared" si="50"/>
        <v>0.74152046783625736</v>
      </c>
      <c r="CB40" s="509">
        <f t="shared" si="51"/>
        <v>0.74152046783625736</v>
      </c>
      <c r="CC40" s="506">
        <v>994</v>
      </c>
      <c r="CD40" s="507">
        <v>920</v>
      </c>
      <c r="CE40" s="507">
        <v>920</v>
      </c>
      <c r="CF40" s="507">
        <v>738</v>
      </c>
      <c r="CG40" s="507">
        <v>646</v>
      </c>
      <c r="CH40" s="508">
        <f t="shared" si="52"/>
        <v>0.80217391304347829</v>
      </c>
      <c r="CI40" s="509">
        <f t="shared" si="53"/>
        <v>0.80217391304347829</v>
      </c>
      <c r="CJ40" s="506">
        <v>1269</v>
      </c>
      <c r="CK40" s="507">
        <v>1183</v>
      </c>
      <c r="CL40" s="507">
        <v>1183</v>
      </c>
      <c r="CM40" s="507">
        <v>887</v>
      </c>
      <c r="CN40" s="507">
        <v>746</v>
      </c>
      <c r="CO40" s="508">
        <f t="shared" si="54"/>
        <v>0.74978867286559592</v>
      </c>
      <c r="CP40" s="508">
        <f t="shared" si="55"/>
        <v>0.74978867286559592</v>
      </c>
      <c r="CQ40" s="508">
        <v>0.96280642434488584</v>
      </c>
      <c r="CR40" s="509">
        <v>0.96280642434488584</v>
      </c>
      <c r="CS40" s="506">
        <v>907</v>
      </c>
      <c r="CT40" s="507">
        <v>746</v>
      </c>
      <c r="CU40" s="507">
        <v>746</v>
      </c>
      <c r="CV40" s="507">
        <v>555</v>
      </c>
      <c r="CW40" s="507">
        <v>461</v>
      </c>
      <c r="CX40" s="508">
        <f t="shared" si="56"/>
        <v>0.74396782841823061</v>
      </c>
      <c r="CY40" s="508">
        <f t="shared" si="57"/>
        <v>0.74396782841823061</v>
      </c>
      <c r="CZ40" s="508">
        <v>0.79490616621983912</v>
      </c>
      <c r="DA40" s="509">
        <v>0.79490616621983912</v>
      </c>
      <c r="DB40" s="506">
        <v>1263</v>
      </c>
      <c r="DC40" s="507">
        <v>1119</v>
      </c>
      <c r="DD40" s="507">
        <v>970</v>
      </c>
      <c r="DE40" s="507">
        <v>736</v>
      </c>
      <c r="DF40" s="507">
        <v>580</v>
      </c>
      <c r="DG40" s="508">
        <f t="shared" si="58"/>
        <v>0.65773011617515642</v>
      </c>
      <c r="DH40" s="508">
        <f t="shared" si="59"/>
        <v>0.75876288659793811</v>
      </c>
      <c r="DI40" s="508">
        <v>0.7068811438784629</v>
      </c>
      <c r="DJ40" s="509">
        <v>0.81546391752577319</v>
      </c>
      <c r="DK40" s="506">
        <v>1322</v>
      </c>
      <c r="DL40" s="507">
        <v>1130</v>
      </c>
      <c r="DM40" s="507">
        <v>979</v>
      </c>
      <c r="DN40" s="507">
        <v>755</v>
      </c>
      <c r="DO40" s="507">
        <v>612</v>
      </c>
      <c r="DP40" s="508">
        <f t="shared" si="60"/>
        <v>0.66814159292035402</v>
      </c>
      <c r="DQ40" s="508">
        <f t="shared" si="61"/>
        <v>0.77119509703779365</v>
      </c>
      <c r="DR40" s="508">
        <v>0.66814159292035402</v>
      </c>
      <c r="DS40" s="509">
        <v>0.77119509703779365</v>
      </c>
      <c r="DT40" s="506">
        <v>1575</v>
      </c>
      <c r="DU40" s="507">
        <v>1337</v>
      </c>
      <c r="DV40" s="507">
        <v>1102</v>
      </c>
      <c r="DW40" s="507">
        <v>799</v>
      </c>
      <c r="DX40" s="507">
        <v>662</v>
      </c>
      <c r="DY40" s="508">
        <f t="shared" si="62"/>
        <v>0.59760658189977567</v>
      </c>
      <c r="DZ40" s="508">
        <f t="shared" si="63"/>
        <v>0.72504537205081665</v>
      </c>
      <c r="EA40" s="508">
        <v>0.59760658189977567</v>
      </c>
      <c r="EB40" s="509">
        <v>0.72504537205081665</v>
      </c>
    </row>
    <row r="41" spans="1:132" s="2" customFormat="1" x14ac:dyDescent="0.25">
      <c r="A41" s="503" t="s">
        <v>202</v>
      </c>
      <c r="B41" s="504" t="s">
        <v>211</v>
      </c>
      <c r="C41" s="505" t="s">
        <v>212</v>
      </c>
      <c r="D41" s="506">
        <v>851</v>
      </c>
      <c r="E41" s="507">
        <v>781</v>
      </c>
      <c r="F41" s="507">
        <v>781</v>
      </c>
      <c r="G41" s="507">
        <v>656</v>
      </c>
      <c r="H41" s="507">
        <v>450</v>
      </c>
      <c r="I41" s="508">
        <f t="shared" si="28"/>
        <v>0.83994878361075542</v>
      </c>
      <c r="J41" s="509">
        <f t="shared" si="29"/>
        <v>0.83994878361075542</v>
      </c>
      <c r="K41" s="506">
        <v>754</v>
      </c>
      <c r="L41" s="507">
        <v>690</v>
      </c>
      <c r="M41" s="507">
        <v>690</v>
      </c>
      <c r="N41" s="507">
        <v>593</v>
      </c>
      <c r="O41" s="507">
        <v>418</v>
      </c>
      <c r="P41" s="508">
        <f t="shared" si="34"/>
        <v>0.85942028985507246</v>
      </c>
      <c r="Q41" s="509">
        <f t="shared" si="35"/>
        <v>0.85942028985507246</v>
      </c>
      <c r="R41" s="506">
        <v>653</v>
      </c>
      <c r="S41" s="507">
        <v>609</v>
      </c>
      <c r="T41" s="507">
        <v>609</v>
      </c>
      <c r="U41" s="507">
        <v>510</v>
      </c>
      <c r="V41" s="507">
        <v>386</v>
      </c>
      <c r="W41" s="508">
        <f t="shared" si="32"/>
        <v>0.83743842364532017</v>
      </c>
      <c r="X41" s="509">
        <f t="shared" si="33"/>
        <v>0.83743842364532017</v>
      </c>
      <c r="Y41" s="506">
        <v>594</v>
      </c>
      <c r="Z41" s="507">
        <v>547</v>
      </c>
      <c r="AA41" s="507">
        <v>547</v>
      </c>
      <c r="AB41" s="507">
        <v>453</v>
      </c>
      <c r="AC41" s="507">
        <v>342</v>
      </c>
      <c r="AD41" s="508">
        <f t="shared" si="36"/>
        <v>0.82815356489945158</v>
      </c>
      <c r="AE41" s="509">
        <f t="shared" si="37"/>
        <v>0.82815356489945158</v>
      </c>
      <c r="AF41" s="506">
        <v>515</v>
      </c>
      <c r="AG41" s="507">
        <v>480</v>
      </c>
      <c r="AH41" s="507">
        <v>480</v>
      </c>
      <c r="AI41" s="507">
        <v>398</v>
      </c>
      <c r="AJ41" s="507">
        <v>297</v>
      </c>
      <c r="AK41" s="508">
        <f t="shared" si="38"/>
        <v>0.82916666666666672</v>
      </c>
      <c r="AL41" s="509">
        <f t="shared" si="39"/>
        <v>0.82916666666666672</v>
      </c>
      <c r="AM41" s="506">
        <v>344</v>
      </c>
      <c r="AN41" s="507">
        <v>331</v>
      </c>
      <c r="AO41" s="507">
        <v>331</v>
      </c>
      <c r="AP41" s="507">
        <v>273</v>
      </c>
      <c r="AQ41" s="507">
        <v>207</v>
      </c>
      <c r="AR41" s="508">
        <f t="shared" si="40"/>
        <v>0.82477341389728098</v>
      </c>
      <c r="AS41" s="509">
        <f t="shared" si="41"/>
        <v>0.82477341389728098</v>
      </c>
      <c r="AT41" s="506">
        <v>255</v>
      </c>
      <c r="AU41" s="507">
        <v>250</v>
      </c>
      <c r="AV41" s="507">
        <v>250</v>
      </c>
      <c r="AW41" s="507">
        <v>216</v>
      </c>
      <c r="AX41" s="507">
        <v>145</v>
      </c>
      <c r="AY41" s="508">
        <f t="shared" si="42"/>
        <v>0.86399999999999999</v>
      </c>
      <c r="AZ41" s="509">
        <f t="shared" si="43"/>
        <v>0.86399999999999999</v>
      </c>
      <c r="BA41" s="506">
        <v>238</v>
      </c>
      <c r="BB41" s="507">
        <v>225</v>
      </c>
      <c r="BC41" s="507">
        <v>225</v>
      </c>
      <c r="BD41" s="507">
        <v>191</v>
      </c>
      <c r="BE41" s="507">
        <v>130</v>
      </c>
      <c r="BF41" s="508">
        <f t="shared" si="44"/>
        <v>0.84888888888888892</v>
      </c>
      <c r="BG41" s="509">
        <f t="shared" si="45"/>
        <v>0.84888888888888892</v>
      </c>
      <c r="BH41" s="506">
        <v>282</v>
      </c>
      <c r="BI41" s="507">
        <v>277</v>
      </c>
      <c r="BJ41" s="507">
        <v>277</v>
      </c>
      <c r="BK41" s="507">
        <v>225</v>
      </c>
      <c r="BL41" s="507">
        <v>157</v>
      </c>
      <c r="BM41" s="508">
        <f t="shared" si="46"/>
        <v>0.81227436823104693</v>
      </c>
      <c r="BN41" s="509">
        <f t="shared" si="47"/>
        <v>0.81227436823104693</v>
      </c>
      <c r="BO41" s="506">
        <v>262</v>
      </c>
      <c r="BP41" s="507">
        <v>260</v>
      </c>
      <c r="BQ41" s="507">
        <v>260</v>
      </c>
      <c r="BR41" s="507">
        <v>213</v>
      </c>
      <c r="BS41" s="507">
        <v>154</v>
      </c>
      <c r="BT41" s="508">
        <f t="shared" si="48"/>
        <v>0.81923076923076921</v>
      </c>
      <c r="BU41" s="509">
        <f t="shared" si="49"/>
        <v>0.81923076923076921</v>
      </c>
      <c r="BV41" s="506">
        <v>320</v>
      </c>
      <c r="BW41" s="507">
        <v>317</v>
      </c>
      <c r="BX41" s="507">
        <v>317</v>
      </c>
      <c r="BY41" s="507">
        <v>270</v>
      </c>
      <c r="BZ41" s="507">
        <v>201</v>
      </c>
      <c r="CA41" s="508">
        <f t="shared" si="50"/>
        <v>0.8517350157728707</v>
      </c>
      <c r="CB41" s="509">
        <f t="shared" si="51"/>
        <v>0.8517350157728707</v>
      </c>
      <c r="CC41" s="506">
        <v>215</v>
      </c>
      <c r="CD41" s="507">
        <v>201</v>
      </c>
      <c r="CE41" s="507">
        <v>201</v>
      </c>
      <c r="CF41" s="507">
        <v>193</v>
      </c>
      <c r="CG41" s="507">
        <v>165</v>
      </c>
      <c r="CH41" s="508">
        <f t="shared" si="52"/>
        <v>0.96019900497512434</v>
      </c>
      <c r="CI41" s="509">
        <f t="shared" si="53"/>
        <v>0.96019900497512434</v>
      </c>
      <c r="CJ41" s="506">
        <v>287</v>
      </c>
      <c r="CK41" s="507">
        <v>270</v>
      </c>
      <c r="CL41" s="507">
        <v>270</v>
      </c>
      <c r="CM41" s="507">
        <v>230</v>
      </c>
      <c r="CN41" s="507">
        <v>149</v>
      </c>
      <c r="CO41" s="508">
        <f t="shared" si="54"/>
        <v>0.85185185185185186</v>
      </c>
      <c r="CP41" s="508">
        <f t="shared" si="55"/>
        <v>0.85185185185185186</v>
      </c>
      <c r="CQ41" s="508">
        <v>0.96296296296296291</v>
      </c>
      <c r="CR41" s="509">
        <v>0.96296296296296291</v>
      </c>
      <c r="CS41" s="506">
        <v>214</v>
      </c>
      <c r="CT41" s="507">
        <v>192</v>
      </c>
      <c r="CU41" s="507">
        <v>155</v>
      </c>
      <c r="CV41" s="507">
        <v>147</v>
      </c>
      <c r="CW41" s="507">
        <v>122</v>
      </c>
      <c r="CX41" s="508">
        <f t="shared" si="56"/>
        <v>0.765625</v>
      </c>
      <c r="CY41" s="508">
        <f t="shared" si="57"/>
        <v>0.94838709677419353</v>
      </c>
      <c r="CZ41" s="508">
        <v>0.78645833333333337</v>
      </c>
      <c r="DA41" s="509">
        <v>0.97419354838709682</v>
      </c>
      <c r="DB41" s="506">
        <v>205</v>
      </c>
      <c r="DC41" s="507">
        <v>189</v>
      </c>
      <c r="DD41" s="507">
        <v>158</v>
      </c>
      <c r="DE41" s="507">
        <v>150</v>
      </c>
      <c r="DF41" s="507">
        <v>126</v>
      </c>
      <c r="DG41" s="508">
        <f t="shared" si="58"/>
        <v>0.79365079365079361</v>
      </c>
      <c r="DH41" s="508">
        <f t="shared" si="59"/>
        <v>0.94936708860759489</v>
      </c>
      <c r="DI41" s="508">
        <v>0.79894179894179895</v>
      </c>
      <c r="DJ41" s="509">
        <v>0.95569620253164556</v>
      </c>
      <c r="DK41" s="506">
        <v>227</v>
      </c>
      <c r="DL41" s="507">
        <v>209</v>
      </c>
      <c r="DM41" s="507">
        <v>178</v>
      </c>
      <c r="DN41" s="507">
        <v>153</v>
      </c>
      <c r="DO41" s="507">
        <v>117</v>
      </c>
      <c r="DP41" s="508">
        <f t="shared" si="60"/>
        <v>0.73205741626794263</v>
      </c>
      <c r="DQ41" s="508">
        <f t="shared" si="61"/>
        <v>0.8595505617977528</v>
      </c>
      <c r="DR41" s="508">
        <v>0.73684210526315785</v>
      </c>
      <c r="DS41" s="509">
        <v>0.8651685393258427</v>
      </c>
      <c r="DT41" s="506">
        <v>232</v>
      </c>
      <c r="DU41" s="507">
        <v>212</v>
      </c>
      <c r="DV41" s="507">
        <v>156</v>
      </c>
      <c r="DW41" s="507">
        <v>152</v>
      </c>
      <c r="DX41" s="507">
        <v>125</v>
      </c>
      <c r="DY41" s="508">
        <f t="shared" si="62"/>
        <v>0.71698113207547165</v>
      </c>
      <c r="DZ41" s="508">
        <f t="shared" si="63"/>
        <v>0.97435897435897434</v>
      </c>
      <c r="EA41" s="508">
        <v>0.71698113207547165</v>
      </c>
      <c r="EB41" s="509">
        <v>0.97435897435897434</v>
      </c>
    </row>
    <row r="42" spans="1:132" s="2" customFormat="1" x14ac:dyDescent="0.25">
      <c r="A42" s="503" t="s">
        <v>202</v>
      </c>
      <c r="B42" s="504" t="s">
        <v>213</v>
      </c>
      <c r="C42" s="505" t="s">
        <v>214</v>
      </c>
      <c r="D42" s="506">
        <v>467</v>
      </c>
      <c r="E42" s="507">
        <v>467</v>
      </c>
      <c r="F42" s="507">
        <v>360</v>
      </c>
      <c r="G42" s="507">
        <v>82</v>
      </c>
      <c r="H42" s="507">
        <v>73</v>
      </c>
      <c r="I42" s="508">
        <f t="shared" si="28"/>
        <v>0.17558886509635974</v>
      </c>
      <c r="J42" s="509">
        <f t="shared" si="29"/>
        <v>0.22777777777777777</v>
      </c>
      <c r="K42" s="506">
        <v>431</v>
      </c>
      <c r="L42" s="507">
        <v>426</v>
      </c>
      <c r="M42" s="507">
        <v>313</v>
      </c>
      <c r="N42" s="507">
        <v>83</v>
      </c>
      <c r="O42" s="507">
        <v>71</v>
      </c>
      <c r="P42" s="508">
        <f t="shared" si="34"/>
        <v>0.19483568075117372</v>
      </c>
      <c r="Q42" s="509">
        <f t="shared" si="35"/>
        <v>0.26517571884984026</v>
      </c>
      <c r="R42" s="506">
        <v>405</v>
      </c>
      <c r="S42" s="507">
        <v>404</v>
      </c>
      <c r="T42" s="507">
        <v>302</v>
      </c>
      <c r="U42" s="507">
        <v>82</v>
      </c>
      <c r="V42" s="507">
        <v>74</v>
      </c>
      <c r="W42" s="508">
        <f t="shared" si="32"/>
        <v>0.20297029702970298</v>
      </c>
      <c r="X42" s="509">
        <f t="shared" si="33"/>
        <v>0.27152317880794702</v>
      </c>
      <c r="Y42" s="506">
        <v>352</v>
      </c>
      <c r="Z42" s="507">
        <v>352</v>
      </c>
      <c r="AA42" s="507">
        <v>249</v>
      </c>
      <c r="AB42" s="507">
        <v>76</v>
      </c>
      <c r="AC42" s="507">
        <v>67</v>
      </c>
      <c r="AD42" s="508">
        <f t="shared" si="36"/>
        <v>0.21590909090909091</v>
      </c>
      <c r="AE42" s="509">
        <f t="shared" si="37"/>
        <v>0.30522088353413657</v>
      </c>
      <c r="AF42" s="506">
        <v>293</v>
      </c>
      <c r="AG42" s="507">
        <v>293</v>
      </c>
      <c r="AH42" s="507">
        <v>215</v>
      </c>
      <c r="AI42" s="507">
        <v>72</v>
      </c>
      <c r="AJ42" s="507">
        <v>67</v>
      </c>
      <c r="AK42" s="508">
        <f t="shared" si="38"/>
        <v>0.24573378839590443</v>
      </c>
      <c r="AL42" s="509">
        <f t="shared" si="39"/>
        <v>0.33488372093023255</v>
      </c>
      <c r="AM42" s="506">
        <v>231</v>
      </c>
      <c r="AN42" s="507">
        <v>231</v>
      </c>
      <c r="AO42" s="507">
        <v>184</v>
      </c>
      <c r="AP42" s="507">
        <v>70</v>
      </c>
      <c r="AQ42" s="507">
        <v>63</v>
      </c>
      <c r="AR42" s="508">
        <f t="shared" si="40"/>
        <v>0.30303030303030304</v>
      </c>
      <c r="AS42" s="509">
        <f t="shared" si="41"/>
        <v>0.38043478260869568</v>
      </c>
      <c r="AT42" s="506">
        <v>212</v>
      </c>
      <c r="AU42" s="507">
        <v>212</v>
      </c>
      <c r="AV42" s="507">
        <v>174</v>
      </c>
      <c r="AW42" s="507">
        <v>70</v>
      </c>
      <c r="AX42" s="507">
        <v>64</v>
      </c>
      <c r="AY42" s="508">
        <f t="shared" si="42"/>
        <v>0.330188679245283</v>
      </c>
      <c r="AZ42" s="509">
        <f t="shared" si="43"/>
        <v>0.40229885057471265</v>
      </c>
      <c r="BA42" s="506">
        <v>213</v>
      </c>
      <c r="BB42" s="507">
        <v>213</v>
      </c>
      <c r="BC42" s="507">
        <v>154</v>
      </c>
      <c r="BD42" s="507">
        <v>72</v>
      </c>
      <c r="BE42" s="507">
        <v>67</v>
      </c>
      <c r="BF42" s="508">
        <f t="shared" si="44"/>
        <v>0.3380281690140845</v>
      </c>
      <c r="BG42" s="509">
        <f t="shared" si="45"/>
        <v>0.46753246753246752</v>
      </c>
      <c r="BH42" s="506">
        <v>191</v>
      </c>
      <c r="BI42" s="507">
        <v>191</v>
      </c>
      <c r="BJ42" s="507">
        <v>145</v>
      </c>
      <c r="BK42" s="507">
        <v>77</v>
      </c>
      <c r="BL42" s="507">
        <v>60</v>
      </c>
      <c r="BM42" s="508">
        <f t="shared" si="46"/>
        <v>0.40314136125654448</v>
      </c>
      <c r="BN42" s="509">
        <f t="shared" si="47"/>
        <v>0.53103448275862064</v>
      </c>
      <c r="BO42" s="506">
        <v>181</v>
      </c>
      <c r="BP42" s="507">
        <v>181</v>
      </c>
      <c r="BQ42" s="507">
        <v>134</v>
      </c>
      <c r="BR42" s="507">
        <v>75</v>
      </c>
      <c r="BS42" s="507">
        <v>66</v>
      </c>
      <c r="BT42" s="508">
        <f t="shared" si="48"/>
        <v>0.4143646408839779</v>
      </c>
      <c r="BU42" s="509">
        <f t="shared" si="49"/>
        <v>0.55970149253731338</v>
      </c>
      <c r="BV42" s="506">
        <v>165</v>
      </c>
      <c r="BW42" s="507">
        <v>165</v>
      </c>
      <c r="BX42" s="507">
        <v>138</v>
      </c>
      <c r="BY42" s="507">
        <v>82</v>
      </c>
      <c r="BZ42" s="507">
        <v>70</v>
      </c>
      <c r="CA42" s="508">
        <f t="shared" si="50"/>
        <v>0.49696969696969695</v>
      </c>
      <c r="CB42" s="509">
        <f t="shared" si="51"/>
        <v>0.59420289855072461</v>
      </c>
      <c r="CC42" s="506">
        <v>182</v>
      </c>
      <c r="CD42" s="507">
        <v>182</v>
      </c>
      <c r="CE42" s="507">
        <v>153</v>
      </c>
      <c r="CF42" s="507">
        <v>73</v>
      </c>
      <c r="CG42" s="507">
        <v>68</v>
      </c>
      <c r="CH42" s="508">
        <f t="shared" si="52"/>
        <v>0.40109890109890112</v>
      </c>
      <c r="CI42" s="509">
        <f t="shared" si="53"/>
        <v>0.47712418300653597</v>
      </c>
      <c r="CJ42" s="506">
        <v>267</v>
      </c>
      <c r="CK42" s="507">
        <v>267</v>
      </c>
      <c r="CL42" s="507">
        <v>246</v>
      </c>
      <c r="CM42" s="507">
        <v>74</v>
      </c>
      <c r="CN42" s="507">
        <v>50</v>
      </c>
      <c r="CO42" s="508">
        <f t="shared" si="54"/>
        <v>0.27715355805243447</v>
      </c>
      <c r="CP42" s="508">
        <f t="shared" si="55"/>
        <v>0.30081300813008133</v>
      </c>
      <c r="CQ42" s="508">
        <v>0.27715355805243447</v>
      </c>
      <c r="CR42" s="509">
        <v>0.30081300813008133</v>
      </c>
      <c r="CS42" s="506">
        <v>184</v>
      </c>
      <c r="CT42" s="507">
        <v>184</v>
      </c>
      <c r="CU42" s="507">
        <v>146</v>
      </c>
      <c r="CV42" s="507">
        <v>66</v>
      </c>
      <c r="CW42" s="507">
        <v>55</v>
      </c>
      <c r="CX42" s="508">
        <f t="shared" si="56"/>
        <v>0.35869565217391303</v>
      </c>
      <c r="CY42" s="508">
        <f t="shared" si="57"/>
        <v>0.45205479452054792</v>
      </c>
      <c r="CZ42" s="508">
        <v>0.35869565217391303</v>
      </c>
      <c r="DA42" s="509">
        <v>0.45205479452054792</v>
      </c>
      <c r="DB42" s="506">
        <v>219</v>
      </c>
      <c r="DC42" s="507">
        <v>219</v>
      </c>
      <c r="DD42" s="507">
        <v>185</v>
      </c>
      <c r="DE42" s="507">
        <v>85</v>
      </c>
      <c r="DF42" s="507">
        <v>66</v>
      </c>
      <c r="DG42" s="508">
        <f t="shared" si="58"/>
        <v>0.38812785388127852</v>
      </c>
      <c r="DH42" s="508">
        <f t="shared" si="59"/>
        <v>0.45945945945945948</v>
      </c>
      <c r="DI42" s="508">
        <v>0.38812785388127852</v>
      </c>
      <c r="DJ42" s="509">
        <v>0.45945945945945948</v>
      </c>
      <c r="DK42" s="506">
        <v>300</v>
      </c>
      <c r="DL42" s="507">
        <v>298</v>
      </c>
      <c r="DM42" s="507">
        <v>266</v>
      </c>
      <c r="DN42" s="507">
        <v>107</v>
      </c>
      <c r="DO42" s="507">
        <v>79</v>
      </c>
      <c r="DP42" s="508">
        <f t="shared" si="60"/>
        <v>0.35906040268456374</v>
      </c>
      <c r="DQ42" s="508">
        <f t="shared" si="61"/>
        <v>0.40225563909774437</v>
      </c>
      <c r="DR42" s="508">
        <v>0.35906040268456374</v>
      </c>
      <c r="DS42" s="509">
        <v>0.40225563909774437</v>
      </c>
      <c r="DT42" s="506">
        <v>390</v>
      </c>
      <c r="DU42" s="507">
        <v>374</v>
      </c>
      <c r="DV42" s="507">
        <v>329</v>
      </c>
      <c r="DW42" s="507">
        <v>118</v>
      </c>
      <c r="DX42" s="507">
        <v>114</v>
      </c>
      <c r="DY42" s="508">
        <f t="shared" si="62"/>
        <v>0.31550802139037432</v>
      </c>
      <c r="DZ42" s="508">
        <f t="shared" si="63"/>
        <v>0.35866261398176291</v>
      </c>
      <c r="EA42" s="508">
        <v>0.38770053475935828</v>
      </c>
      <c r="EB42" s="509">
        <v>0.44072948328267475</v>
      </c>
    </row>
    <row r="43" spans="1:132" s="2" customFormat="1" x14ac:dyDescent="0.25">
      <c r="A43" s="511" t="s">
        <v>202</v>
      </c>
      <c r="B43" s="512" t="s">
        <v>215</v>
      </c>
      <c r="C43" s="532" t="s">
        <v>199</v>
      </c>
      <c r="D43" s="506">
        <v>501</v>
      </c>
      <c r="E43" s="507">
        <v>396</v>
      </c>
      <c r="F43" s="515">
        <v>320</v>
      </c>
      <c r="G43" s="515">
        <v>268</v>
      </c>
      <c r="H43" s="515">
        <v>192</v>
      </c>
      <c r="I43" s="516">
        <f t="shared" si="28"/>
        <v>0.6767676767676768</v>
      </c>
      <c r="J43" s="517">
        <f t="shared" si="29"/>
        <v>0.83750000000000002</v>
      </c>
      <c r="K43" s="506">
        <v>625</v>
      </c>
      <c r="L43" s="507">
        <v>489</v>
      </c>
      <c r="M43" s="515">
        <v>412</v>
      </c>
      <c r="N43" s="515">
        <v>256</v>
      </c>
      <c r="O43" s="515">
        <v>191</v>
      </c>
      <c r="P43" s="516">
        <f t="shared" ref="P43:P74" si="64">N43/L43</f>
        <v>0.52351738241308798</v>
      </c>
      <c r="Q43" s="517">
        <f t="shared" ref="Q43:Q74" si="65">N43/M43</f>
        <v>0.62135922330097082</v>
      </c>
      <c r="R43" s="506">
        <v>625</v>
      </c>
      <c r="S43" s="507">
        <v>496</v>
      </c>
      <c r="T43" s="515">
        <v>430</v>
      </c>
      <c r="U43" s="515">
        <v>254</v>
      </c>
      <c r="V43" s="515">
        <v>187</v>
      </c>
      <c r="W43" s="516">
        <f t="shared" si="32"/>
        <v>0.51209677419354838</v>
      </c>
      <c r="X43" s="517">
        <f t="shared" si="33"/>
        <v>0.59069767441860466</v>
      </c>
      <c r="Y43" s="550" t="s">
        <v>67</v>
      </c>
      <c r="Z43" s="507" t="s">
        <v>67</v>
      </c>
      <c r="AA43" s="507" t="s">
        <v>67</v>
      </c>
      <c r="AB43" s="507" t="s">
        <v>67</v>
      </c>
      <c r="AC43" s="507" t="s">
        <v>67</v>
      </c>
      <c r="AD43" s="508" t="s">
        <v>67</v>
      </c>
      <c r="AE43" s="509" t="s">
        <v>67</v>
      </c>
      <c r="AF43" s="514" t="s">
        <v>67</v>
      </c>
      <c r="AG43" s="515" t="s">
        <v>67</v>
      </c>
      <c r="AH43" s="515" t="s">
        <v>67</v>
      </c>
      <c r="AI43" s="515" t="s">
        <v>67</v>
      </c>
      <c r="AJ43" s="515" t="s">
        <v>67</v>
      </c>
      <c r="AK43" s="516" t="s">
        <v>67</v>
      </c>
      <c r="AL43" s="517" t="s">
        <v>67</v>
      </c>
      <c r="AM43" s="514" t="s">
        <v>67</v>
      </c>
      <c r="AN43" s="515" t="s">
        <v>67</v>
      </c>
      <c r="AO43" s="515" t="s">
        <v>67</v>
      </c>
      <c r="AP43" s="515" t="s">
        <v>67</v>
      </c>
      <c r="AQ43" s="515" t="s">
        <v>67</v>
      </c>
      <c r="AR43" s="516" t="s">
        <v>67</v>
      </c>
      <c r="AS43" s="517" t="s">
        <v>67</v>
      </c>
      <c r="AT43" s="514" t="s">
        <v>67</v>
      </c>
      <c r="AU43" s="515" t="s">
        <v>67</v>
      </c>
      <c r="AV43" s="515" t="s">
        <v>67</v>
      </c>
      <c r="AW43" s="515" t="s">
        <v>67</v>
      </c>
      <c r="AX43" s="515" t="s">
        <v>67</v>
      </c>
      <c r="AY43" s="516" t="s">
        <v>67</v>
      </c>
      <c r="AZ43" s="517" t="s">
        <v>67</v>
      </c>
      <c r="BA43" s="514" t="s">
        <v>67</v>
      </c>
      <c r="BB43" s="515" t="s">
        <v>67</v>
      </c>
      <c r="BC43" s="515" t="s">
        <v>67</v>
      </c>
      <c r="BD43" s="515" t="s">
        <v>67</v>
      </c>
      <c r="BE43" s="515" t="s">
        <v>67</v>
      </c>
      <c r="BF43" s="516" t="s">
        <v>67</v>
      </c>
      <c r="BG43" s="517" t="s">
        <v>67</v>
      </c>
      <c r="BH43" s="514" t="s">
        <v>67</v>
      </c>
      <c r="BI43" s="515" t="s">
        <v>67</v>
      </c>
      <c r="BJ43" s="515" t="s">
        <v>67</v>
      </c>
      <c r="BK43" s="515" t="s">
        <v>67</v>
      </c>
      <c r="BL43" s="515" t="s">
        <v>67</v>
      </c>
      <c r="BM43" s="516" t="s">
        <v>67</v>
      </c>
      <c r="BN43" s="517" t="s">
        <v>67</v>
      </c>
      <c r="BO43" s="514" t="s">
        <v>67</v>
      </c>
      <c r="BP43" s="515" t="s">
        <v>67</v>
      </c>
      <c r="BQ43" s="515" t="s">
        <v>67</v>
      </c>
      <c r="BR43" s="515" t="s">
        <v>67</v>
      </c>
      <c r="BS43" s="515" t="s">
        <v>67</v>
      </c>
      <c r="BT43" s="516" t="s">
        <v>67</v>
      </c>
      <c r="BU43" s="517" t="s">
        <v>67</v>
      </c>
      <c r="BV43" s="514" t="s">
        <v>67</v>
      </c>
      <c r="BW43" s="515" t="s">
        <v>67</v>
      </c>
      <c r="BX43" s="515" t="s">
        <v>67</v>
      </c>
      <c r="BY43" s="515" t="s">
        <v>67</v>
      </c>
      <c r="BZ43" s="515" t="s">
        <v>67</v>
      </c>
      <c r="CA43" s="516" t="s">
        <v>67</v>
      </c>
      <c r="CB43" s="517" t="s">
        <v>67</v>
      </c>
      <c r="CC43" s="514" t="s">
        <v>67</v>
      </c>
      <c r="CD43" s="515" t="s">
        <v>67</v>
      </c>
      <c r="CE43" s="515" t="s">
        <v>67</v>
      </c>
      <c r="CF43" s="515" t="s">
        <v>67</v>
      </c>
      <c r="CG43" s="515" t="s">
        <v>67</v>
      </c>
      <c r="CH43" s="516" t="s">
        <v>67</v>
      </c>
      <c r="CI43" s="517" t="s">
        <v>67</v>
      </c>
      <c r="CJ43" s="514" t="s">
        <v>67</v>
      </c>
      <c r="CK43" s="515" t="s">
        <v>67</v>
      </c>
      <c r="CL43" s="515" t="s">
        <v>67</v>
      </c>
      <c r="CM43" s="515" t="s">
        <v>67</v>
      </c>
      <c r="CN43" s="515" t="s">
        <v>67</v>
      </c>
      <c r="CO43" s="516" t="s">
        <v>67</v>
      </c>
      <c r="CP43" s="516" t="s">
        <v>67</v>
      </c>
      <c r="CQ43" s="516" t="s">
        <v>67</v>
      </c>
      <c r="CR43" s="517" t="s">
        <v>67</v>
      </c>
      <c r="CS43" s="514" t="s">
        <v>67</v>
      </c>
      <c r="CT43" s="515" t="s">
        <v>67</v>
      </c>
      <c r="CU43" s="515" t="s">
        <v>67</v>
      </c>
      <c r="CV43" s="515" t="s">
        <v>67</v>
      </c>
      <c r="CW43" s="515" t="s">
        <v>67</v>
      </c>
      <c r="CX43" s="516" t="s">
        <v>67</v>
      </c>
      <c r="CY43" s="516" t="s">
        <v>67</v>
      </c>
      <c r="CZ43" s="516" t="s">
        <v>67</v>
      </c>
      <c r="DA43" s="517" t="s">
        <v>67</v>
      </c>
      <c r="DB43" s="514" t="s">
        <v>67</v>
      </c>
      <c r="DC43" s="515" t="s">
        <v>67</v>
      </c>
      <c r="DD43" s="515" t="s">
        <v>67</v>
      </c>
      <c r="DE43" s="515" t="s">
        <v>67</v>
      </c>
      <c r="DF43" s="515" t="s">
        <v>67</v>
      </c>
      <c r="DG43" s="516" t="s">
        <v>67</v>
      </c>
      <c r="DH43" s="516" t="s">
        <v>67</v>
      </c>
      <c r="DI43" s="516" t="s">
        <v>67</v>
      </c>
      <c r="DJ43" s="517" t="s">
        <v>67</v>
      </c>
      <c r="DK43" s="514" t="s">
        <v>67</v>
      </c>
      <c r="DL43" s="515" t="s">
        <v>67</v>
      </c>
      <c r="DM43" s="515" t="s">
        <v>67</v>
      </c>
      <c r="DN43" s="515" t="s">
        <v>67</v>
      </c>
      <c r="DO43" s="515" t="s">
        <v>67</v>
      </c>
      <c r="DP43" s="516" t="s">
        <v>67</v>
      </c>
      <c r="DQ43" s="516" t="s">
        <v>67</v>
      </c>
      <c r="DR43" s="516" t="s">
        <v>67</v>
      </c>
      <c r="DS43" s="517" t="s">
        <v>67</v>
      </c>
      <c r="DT43" s="514" t="s">
        <v>67</v>
      </c>
      <c r="DU43" s="515" t="s">
        <v>67</v>
      </c>
      <c r="DV43" s="515" t="s">
        <v>67</v>
      </c>
      <c r="DW43" s="515" t="s">
        <v>67</v>
      </c>
      <c r="DX43" s="515" t="s">
        <v>67</v>
      </c>
      <c r="DY43" s="516" t="s">
        <v>67</v>
      </c>
      <c r="DZ43" s="516" t="s">
        <v>67</v>
      </c>
      <c r="EA43" s="516" t="s">
        <v>67</v>
      </c>
      <c r="EB43" s="517" t="s">
        <v>67</v>
      </c>
    </row>
    <row r="44" spans="1:132" s="2" customFormat="1" x14ac:dyDescent="0.25">
      <c r="A44" s="551" t="s">
        <v>216</v>
      </c>
      <c r="B44" s="552" t="s">
        <v>217</v>
      </c>
      <c r="C44" s="553"/>
      <c r="D44" s="535">
        <v>51285</v>
      </c>
      <c r="E44" s="521">
        <v>28055</v>
      </c>
      <c r="F44" s="521">
        <v>24446</v>
      </c>
      <c r="G44" s="521">
        <v>12019</v>
      </c>
      <c r="H44" s="522">
        <v>9544</v>
      </c>
      <c r="I44" s="523">
        <f t="shared" si="28"/>
        <v>0.42840848333630371</v>
      </c>
      <c r="J44" s="524">
        <f t="shared" si="29"/>
        <v>0.49165507649513213</v>
      </c>
      <c r="K44" s="535">
        <v>51127</v>
      </c>
      <c r="L44" s="521">
        <v>27392</v>
      </c>
      <c r="M44" s="521">
        <v>23923</v>
      </c>
      <c r="N44" s="521">
        <v>11665</v>
      </c>
      <c r="O44" s="522">
        <v>9147</v>
      </c>
      <c r="P44" s="523">
        <f t="shared" si="64"/>
        <v>0.42585426401869159</v>
      </c>
      <c r="Q44" s="524">
        <f t="shared" si="65"/>
        <v>0.4876060694728922</v>
      </c>
      <c r="R44" s="535">
        <v>53490</v>
      </c>
      <c r="S44" s="521">
        <v>28669</v>
      </c>
      <c r="T44" s="521">
        <v>24958</v>
      </c>
      <c r="U44" s="521">
        <v>11329</v>
      </c>
      <c r="V44" s="522">
        <v>8799</v>
      </c>
      <c r="W44" s="523">
        <f t="shared" si="32"/>
        <v>0.39516550978408732</v>
      </c>
      <c r="X44" s="524">
        <f t="shared" si="33"/>
        <v>0.45392258995111789</v>
      </c>
      <c r="Y44" s="535">
        <v>49240</v>
      </c>
      <c r="Z44" s="521">
        <v>26776</v>
      </c>
      <c r="AA44" s="521">
        <v>23201</v>
      </c>
      <c r="AB44" s="521">
        <v>10121</v>
      </c>
      <c r="AC44" s="522">
        <v>7741</v>
      </c>
      <c r="AD44" s="523">
        <f t="shared" ref="AD44:AD74" si="66">AB44/Z44</f>
        <v>0.37798775022408126</v>
      </c>
      <c r="AE44" s="524">
        <f t="shared" ref="AE44:AE74" si="67">AB44/AA44</f>
        <v>0.43623119693116674</v>
      </c>
      <c r="AF44" s="535">
        <v>45244</v>
      </c>
      <c r="AG44" s="521">
        <v>24658</v>
      </c>
      <c r="AH44" s="521">
        <v>21445</v>
      </c>
      <c r="AI44" s="521">
        <v>9816</v>
      </c>
      <c r="AJ44" s="522">
        <v>7479</v>
      </c>
      <c r="AK44" s="523">
        <f t="shared" ref="AK44:AK74" si="68">AI44/AG44</f>
        <v>0.39808581393462567</v>
      </c>
      <c r="AL44" s="524">
        <f t="shared" ref="AL44:AL74" si="69">AI44/AH44</f>
        <v>0.4577290743763115</v>
      </c>
      <c r="AM44" s="535">
        <v>39621</v>
      </c>
      <c r="AN44" s="521">
        <v>21760</v>
      </c>
      <c r="AO44" s="521">
        <v>18571</v>
      </c>
      <c r="AP44" s="521">
        <v>8536</v>
      </c>
      <c r="AQ44" s="522">
        <v>6453</v>
      </c>
      <c r="AR44" s="523">
        <f t="shared" ref="AR44:AR74" si="70">AP44/AN44</f>
        <v>0.39227941176470588</v>
      </c>
      <c r="AS44" s="524">
        <f t="shared" ref="AS44:AS74" si="71">AP44/AO44</f>
        <v>0.45964137633945401</v>
      </c>
      <c r="AT44" s="535">
        <v>36243</v>
      </c>
      <c r="AU44" s="521">
        <v>19616</v>
      </c>
      <c r="AV44" s="521">
        <v>16484</v>
      </c>
      <c r="AW44" s="521">
        <v>8462</v>
      </c>
      <c r="AX44" s="522">
        <v>6501</v>
      </c>
      <c r="AY44" s="523">
        <f t="shared" ref="AY44:AY74" si="72">AW44/AU44</f>
        <v>0.4313825448613377</v>
      </c>
      <c r="AZ44" s="524">
        <f t="shared" ref="AZ44:AZ74" si="73">AW44/AV44</f>
        <v>0.51334627517592812</v>
      </c>
      <c r="BA44" s="535">
        <v>33482</v>
      </c>
      <c r="BB44" s="521">
        <v>18177</v>
      </c>
      <c r="BC44" s="521">
        <v>15516</v>
      </c>
      <c r="BD44" s="521">
        <v>8036</v>
      </c>
      <c r="BE44" s="522">
        <v>6148</v>
      </c>
      <c r="BF44" s="523">
        <f t="shared" ref="BF44:BF74" si="74">BD44/BB44</f>
        <v>0.44209715574627279</v>
      </c>
      <c r="BG44" s="524">
        <f t="shared" ref="BG44:BG74" si="75">BD44/BC44</f>
        <v>0.51791698891466875</v>
      </c>
      <c r="BH44" s="535">
        <v>32661</v>
      </c>
      <c r="BI44" s="521">
        <v>17794</v>
      </c>
      <c r="BJ44" s="521">
        <v>14836</v>
      </c>
      <c r="BK44" s="521">
        <v>8043</v>
      </c>
      <c r="BL44" s="522">
        <v>5981</v>
      </c>
      <c r="BM44" s="523">
        <f t="shared" ref="BM44:BM74" si="76">BK44/BI44</f>
        <v>0.45200629425649097</v>
      </c>
      <c r="BN44" s="524">
        <f t="shared" ref="BN44:BN74" si="77">BK44/BJ44</f>
        <v>0.5421272580210299</v>
      </c>
      <c r="BO44" s="535">
        <v>31722</v>
      </c>
      <c r="BP44" s="521">
        <v>17661</v>
      </c>
      <c r="BQ44" s="521">
        <v>15331</v>
      </c>
      <c r="BR44" s="521">
        <v>8301</v>
      </c>
      <c r="BS44" s="522">
        <v>6256</v>
      </c>
      <c r="BT44" s="523">
        <f t="shared" ref="BT44:BT74" si="78">BR44/BP44</f>
        <v>0.47001868523866147</v>
      </c>
      <c r="BU44" s="524">
        <f t="shared" ref="BU44:BU74" si="79">BR44/BQ44</f>
        <v>0.54145196008088192</v>
      </c>
      <c r="BV44" s="535">
        <v>29530</v>
      </c>
      <c r="BW44" s="521">
        <v>17225</v>
      </c>
      <c r="BX44" s="521">
        <v>14991</v>
      </c>
      <c r="BY44" s="521">
        <v>8190</v>
      </c>
      <c r="BZ44" s="522">
        <v>6038</v>
      </c>
      <c r="CA44" s="523">
        <f t="shared" ref="CA44:CA74" si="80">BY44/BW44</f>
        <v>0.47547169811320755</v>
      </c>
      <c r="CB44" s="524">
        <f t="shared" ref="CB44:CB74" si="81">BY44/BX44</f>
        <v>0.54632779667800679</v>
      </c>
      <c r="CC44" s="535">
        <v>30657</v>
      </c>
      <c r="CD44" s="521">
        <v>17781</v>
      </c>
      <c r="CE44" s="521">
        <v>14859</v>
      </c>
      <c r="CF44" s="521">
        <v>8401</v>
      </c>
      <c r="CG44" s="522">
        <v>6436</v>
      </c>
      <c r="CH44" s="523">
        <f t="shared" ref="CH44:CH74" si="82">CF44/CD44</f>
        <v>0.47247061470108542</v>
      </c>
      <c r="CI44" s="524">
        <f t="shared" ref="CI44:CI74" si="83">CF44/CE44</f>
        <v>0.56538125042062048</v>
      </c>
      <c r="CJ44" s="535">
        <v>35555</v>
      </c>
      <c r="CK44" s="521">
        <v>20326</v>
      </c>
      <c r="CL44" s="521">
        <v>18247</v>
      </c>
      <c r="CM44" s="521">
        <v>8635</v>
      </c>
      <c r="CN44" s="522">
        <v>6695</v>
      </c>
      <c r="CO44" s="523">
        <f t="shared" ref="CO44:CO45" si="84">CM44/CK44</f>
        <v>0.42482534684640361</v>
      </c>
      <c r="CP44" s="663">
        <f t="shared" ref="CP44:CP45" si="85">CM44/CL44</f>
        <v>0.47322847591384887</v>
      </c>
      <c r="CQ44" s="523">
        <v>0.42925317327560758</v>
      </c>
      <c r="CR44" s="524">
        <v>0.47816079355510493</v>
      </c>
      <c r="CS44" s="535">
        <v>33261</v>
      </c>
      <c r="CT44" s="521">
        <v>18975</v>
      </c>
      <c r="CU44" s="521">
        <v>16337</v>
      </c>
      <c r="CV44" s="521">
        <v>7350</v>
      </c>
      <c r="CW44" s="522">
        <v>6481</v>
      </c>
      <c r="CX44" s="523">
        <f t="shared" ref="CX44:CX66" si="86">CV44/CT44</f>
        <v>0.38735177865612647</v>
      </c>
      <c r="CY44" s="663">
        <f t="shared" ref="CY44:CY66" si="87">CV44/CU44</f>
        <v>0.44989900226479768</v>
      </c>
      <c r="CZ44" s="523">
        <v>0.43826086956521737</v>
      </c>
      <c r="DA44" s="524">
        <v>0.50902858541959972</v>
      </c>
      <c r="DB44" s="535">
        <v>33314</v>
      </c>
      <c r="DC44" s="521">
        <v>18520</v>
      </c>
      <c r="DD44" s="521">
        <v>16209</v>
      </c>
      <c r="DE44" s="521">
        <v>7146</v>
      </c>
      <c r="DF44" s="522">
        <v>6374</v>
      </c>
      <c r="DG44" s="523">
        <f t="shared" ref="DG44:DG66" si="88">DE44/DC44</f>
        <v>0.38585313174946007</v>
      </c>
      <c r="DH44" s="663">
        <f t="shared" ref="DH44:DH66" si="89">DE44/DD44</f>
        <v>0.44086618545252637</v>
      </c>
      <c r="DI44" s="523">
        <v>0.47251619870410366</v>
      </c>
      <c r="DJ44" s="524">
        <v>0.53988524893577639</v>
      </c>
      <c r="DK44" s="535">
        <v>34130</v>
      </c>
      <c r="DL44" s="521">
        <v>19407</v>
      </c>
      <c r="DM44" s="521">
        <v>17058</v>
      </c>
      <c r="DN44" s="521">
        <v>7496</v>
      </c>
      <c r="DO44" s="522">
        <v>6650</v>
      </c>
      <c r="DP44" s="523">
        <f t="shared" ref="DP44:DP66" si="90">DN44/DL44</f>
        <v>0.3862523831607152</v>
      </c>
      <c r="DQ44" s="663">
        <f t="shared" ref="DQ44:DQ66" si="91">DN44/DM44</f>
        <v>0.43944190409192169</v>
      </c>
      <c r="DR44" s="523">
        <v>0.45148657700829598</v>
      </c>
      <c r="DS44" s="524">
        <v>0.51365928010317741</v>
      </c>
      <c r="DT44" s="535">
        <v>36119</v>
      </c>
      <c r="DU44" s="521">
        <v>20157</v>
      </c>
      <c r="DV44" s="521">
        <v>17555</v>
      </c>
      <c r="DW44" s="521">
        <v>7952</v>
      </c>
      <c r="DX44" s="522">
        <v>7002</v>
      </c>
      <c r="DY44" s="523">
        <f t="shared" ref="DY44:DY66" si="92">DW44/DU44</f>
        <v>0.39450315027037752</v>
      </c>
      <c r="DZ44" s="663">
        <f t="shared" ref="DZ44:DZ66" si="93">DW44/DV44</f>
        <v>0.45297636001139274</v>
      </c>
      <c r="EA44" s="523">
        <v>0.43756511385622859</v>
      </c>
      <c r="EB44" s="524">
        <v>0.50242096268869263</v>
      </c>
    </row>
    <row r="45" spans="1:132" s="2" customFormat="1" x14ac:dyDescent="0.25">
      <c r="A45" s="554" t="s">
        <v>216</v>
      </c>
      <c r="B45" s="555" t="s">
        <v>218</v>
      </c>
      <c r="C45" s="556" t="s">
        <v>219</v>
      </c>
      <c r="D45" s="499">
        <v>4916</v>
      </c>
      <c r="E45" s="500">
        <v>3490</v>
      </c>
      <c r="F45" s="500">
        <v>2572</v>
      </c>
      <c r="G45" s="500">
        <v>774</v>
      </c>
      <c r="H45" s="500">
        <v>628</v>
      </c>
      <c r="I45" s="501">
        <f t="shared" si="28"/>
        <v>0.22177650429799428</v>
      </c>
      <c r="J45" s="502">
        <f t="shared" si="29"/>
        <v>0.30093312597200622</v>
      </c>
      <c r="K45" s="499">
        <v>5090</v>
      </c>
      <c r="L45" s="500">
        <v>3455</v>
      </c>
      <c r="M45" s="500">
        <v>2600</v>
      </c>
      <c r="N45" s="500">
        <v>841</v>
      </c>
      <c r="O45" s="500">
        <v>641</v>
      </c>
      <c r="P45" s="501">
        <f t="shared" si="64"/>
        <v>0.24341534008683069</v>
      </c>
      <c r="Q45" s="502">
        <f t="shared" si="65"/>
        <v>0.32346153846153847</v>
      </c>
      <c r="R45" s="499">
        <v>5384</v>
      </c>
      <c r="S45" s="500">
        <v>3681</v>
      </c>
      <c r="T45" s="500">
        <v>2852</v>
      </c>
      <c r="U45" s="500">
        <v>772</v>
      </c>
      <c r="V45" s="500">
        <v>585</v>
      </c>
      <c r="W45" s="501">
        <f t="shared" si="32"/>
        <v>0.20972561803857648</v>
      </c>
      <c r="X45" s="502">
        <f t="shared" si="33"/>
        <v>0.27068723702664799</v>
      </c>
      <c r="Y45" s="499">
        <v>5963</v>
      </c>
      <c r="Z45" s="500">
        <v>4028</v>
      </c>
      <c r="AA45" s="500">
        <v>3308</v>
      </c>
      <c r="AB45" s="500">
        <v>770</v>
      </c>
      <c r="AC45" s="500">
        <v>560</v>
      </c>
      <c r="AD45" s="501">
        <f t="shared" si="66"/>
        <v>0.19116186693147963</v>
      </c>
      <c r="AE45" s="502">
        <f t="shared" si="67"/>
        <v>0.23276904474002419</v>
      </c>
      <c r="AF45" s="499">
        <v>5736</v>
      </c>
      <c r="AG45" s="500">
        <v>3921</v>
      </c>
      <c r="AH45" s="500">
        <v>3166</v>
      </c>
      <c r="AI45" s="500">
        <v>810</v>
      </c>
      <c r="AJ45" s="500">
        <v>546</v>
      </c>
      <c r="AK45" s="501">
        <f t="shared" si="68"/>
        <v>0.20657995409334354</v>
      </c>
      <c r="AL45" s="502">
        <f t="shared" si="69"/>
        <v>0.25584333543903981</v>
      </c>
      <c r="AM45" s="499">
        <v>5633</v>
      </c>
      <c r="AN45" s="500">
        <v>3865</v>
      </c>
      <c r="AO45" s="500">
        <v>3148</v>
      </c>
      <c r="AP45" s="500">
        <v>792</v>
      </c>
      <c r="AQ45" s="500">
        <v>540</v>
      </c>
      <c r="AR45" s="501">
        <f t="shared" si="70"/>
        <v>0.20491591203104786</v>
      </c>
      <c r="AS45" s="502">
        <f t="shared" si="71"/>
        <v>0.25158831003811943</v>
      </c>
      <c r="AT45" s="499">
        <v>5366</v>
      </c>
      <c r="AU45" s="500">
        <v>3679</v>
      </c>
      <c r="AV45" s="500">
        <v>2905</v>
      </c>
      <c r="AW45" s="500">
        <v>815</v>
      </c>
      <c r="AX45" s="500">
        <v>581</v>
      </c>
      <c r="AY45" s="501">
        <f t="shared" si="72"/>
        <v>0.22152758901875511</v>
      </c>
      <c r="AZ45" s="502">
        <f t="shared" si="73"/>
        <v>0.28055077452667815</v>
      </c>
      <c r="BA45" s="499">
        <v>5197</v>
      </c>
      <c r="BB45" s="500">
        <v>3620</v>
      </c>
      <c r="BC45" s="500">
        <v>2757</v>
      </c>
      <c r="BD45" s="500">
        <v>755</v>
      </c>
      <c r="BE45" s="500">
        <v>548</v>
      </c>
      <c r="BF45" s="501">
        <f t="shared" si="74"/>
        <v>0.2085635359116022</v>
      </c>
      <c r="BG45" s="502">
        <f t="shared" si="75"/>
        <v>0.27384838592673194</v>
      </c>
      <c r="BH45" s="499">
        <v>5346</v>
      </c>
      <c r="BI45" s="500">
        <v>3617</v>
      </c>
      <c r="BJ45" s="500">
        <v>2732</v>
      </c>
      <c r="BK45" s="500">
        <v>802</v>
      </c>
      <c r="BL45" s="500">
        <v>582</v>
      </c>
      <c r="BM45" s="501">
        <f t="shared" si="76"/>
        <v>0.22173071606303565</v>
      </c>
      <c r="BN45" s="502">
        <f t="shared" si="77"/>
        <v>0.29355783308931188</v>
      </c>
      <c r="BO45" s="499">
        <v>5145</v>
      </c>
      <c r="BP45" s="500">
        <v>3582</v>
      </c>
      <c r="BQ45" s="500">
        <v>2644</v>
      </c>
      <c r="BR45" s="500">
        <v>676</v>
      </c>
      <c r="BS45" s="500">
        <v>491</v>
      </c>
      <c r="BT45" s="501">
        <f t="shared" si="78"/>
        <v>0.18872138470128419</v>
      </c>
      <c r="BU45" s="502">
        <f t="shared" si="79"/>
        <v>0.2556732223903177</v>
      </c>
      <c r="BV45" s="499">
        <v>5053</v>
      </c>
      <c r="BW45" s="500">
        <v>3472</v>
      </c>
      <c r="BX45" s="500">
        <v>2594</v>
      </c>
      <c r="BY45" s="500">
        <v>710</v>
      </c>
      <c r="BZ45" s="500">
        <v>502</v>
      </c>
      <c r="CA45" s="501">
        <f t="shared" si="80"/>
        <v>0.20449308755760368</v>
      </c>
      <c r="CB45" s="502">
        <f t="shared" si="81"/>
        <v>0.27370855821125673</v>
      </c>
      <c r="CC45" s="499">
        <v>5424</v>
      </c>
      <c r="CD45" s="500">
        <v>3624</v>
      </c>
      <c r="CE45" s="500">
        <v>2929</v>
      </c>
      <c r="CF45" s="500">
        <v>885</v>
      </c>
      <c r="CG45" s="500">
        <v>674</v>
      </c>
      <c r="CH45" s="501">
        <f t="shared" si="82"/>
        <v>0.24420529801324503</v>
      </c>
      <c r="CI45" s="502">
        <f t="shared" si="83"/>
        <v>0.30215090474564699</v>
      </c>
      <c r="CJ45" s="499">
        <v>6167</v>
      </c>
      <c r="CK45" s="500">
        <v>4186</v>
      </c>
      <c r="CL45" s="500">
        <v>3194</v>
      </c>
      <c r="CM45" s="500">
        <v>881</v>
      </c>
      <c r="CN45" s="500">
        <v>698</v>
      </c>
      <c r="CO45" s="501">
        <f t="shared" si="84"/>
        <v>0.21046344959388438</v>
      </c>
      <c r="CP45" s="501">
        <f t="shared" si="85"/>
        <v>0.27582968065122104</v>
      </c>
      <c r="CQ45" s="501">
        <v>0.21046344959388438</v>
      </c>
      <c r="CR45" s="502">
        <v>0.27582968065122104</v>
      </c>
      <c r="CS45" s="499">
        <v>6096</v>
      </c>
      <c r="CT45" s="500">
        <v>4060</v>
      </c>
      <c r="CU45" s="500">
        <v>2918</v>
      </c>
      <c r="CV45" s="500">
        <v>658</v>
      </c>
      <c r="CW45" s="500">
        <v>595</v>
      </c>
      <c r="CX45" s="501">
        <f t="shared" si="86"/>
        <v>0.16206896551724137</v>
      </c>
      <c r="CY45" s="501">
        <f t="shared" si="87"/>
        <v>0.22549691569568198</v>
      </c>
      <c r="CZ45" s="501">
        <v>0.18349753694581281</v>
      </c>
      <c r="DA45" s="502">
        <v>0.2553118574366004</v>
      </c>
      <c r="DB45" s="499">
        <v>6143</v>
      </c>
      <c r="DC45" s="500">
        <v>4039</v>
      </c>
      <c r="DD45" s="500">
        <v>2912</v>
      </c>
      <c r="DE45" s="500">
        <v>679</v>
      </c>
      <c r="DF45" s="500">
        <v>643</v>
      </c>
      <c r="DG45" s="501">
        <f t="shared" si="88"/>
        <v>0.1681109185441941</v>
      </c>
      <c r="DH45" s="501">
        <f t="shared" si="89"/>
        <v>0.23317307692307693</v>
      </c>
      <c r="DI45" s="501">
        <v>0.20921020054468928</v>
      </c>
      <c r="DJ45" s="502">
        <v>0.29017857142857145</v>
      </c>
      <c r="DK45" s="499">
        <v>6245</v>
      </c>
      <c r="DL45" s="500">
        <v>4188</v>
      </c>
      <c r="DM45" s="500">
        <v>3064</v>
      </c>
      <c r="DN45" s="500">
        <v>634</v>
      </c>
      <c r="DO45" s="500">
        <v>608</v>
      </c>
      <c r="DP45" s="501">
        <f t="shared" si="90"/>
        <v>0.15138490926456544</v>
      </c>
      <c r="DQ45" s="501">
        <f t="shared" si="91"/>
        <v>0.20691906005221933</v>
      </c>
      <c r="DR45" s="501">
        <v>0.18600764087870106</v>
      </c>
      <c r="DS45" s="502">
        <v>0.25424281984334202</v>
      </c>
      <c r="DT45" s="499">
        <v>6988</v>
      </c>
      <c r="DU45" s="500">
        <v>4445</v>
      </c>
      <c r="DV45" s="500">
        <v>3261</v>
      </c>
      <c r="DW45" s="500">
        <v>667</v>
      </c>
      <c r="DX45" s="500">
        <v>627</v>
      </c>
      <c r="DY45" s="501">
        <f t="shared" si="92"/>
        <v>0.1500562429696288</v>
      </c>
      <c r="DZ45" s="501">
        <f t="shared" si="93"/>
        <v>0.20453848512726158</v>
      </c>
      <c r="EA45" s="501">
        <v>0.16512935883014623</v>
      </c>
      <c r="EB45" s="502">
        <v>0.22508432996013492</v>
      </c>
    </row>
    <row r="46" spans="1:132" s="2" customFormat="1" x14ac:dyDescent="0.25">
      <c r="A46" s="503" t="s">
        <v>216</v>
      </c>
      <c r="B46" s="497">
        <v>14160</v>
      </c>
      <c r="C46" s="498" t="s">
        <v>595</v>
      </c>
      <c r="D46" s="545"/>
      <c r="E46" s="546"/>
      <c r="F46" s="546"/>
      <c r="G46" s="546"/>
      <c r="H46" s="546"/>
      <c r="I46" s="547"/>
      <c r="J46" s="548"/>
      <c r="K46" s="545" t="s">
        <v>67</v>
      </c>
      <c r="L46" s="546" t="s">
        <v>67</v>
      </c>
      <c r="M46" s="546" t="s">
        <v>67</v>
      </c>
      <c r="N46" s="546" t="s">
        <v>67</v>
      </c>
      <c r="O46" s="546" t="s">
        <v>67</v>
      </c>
      <c r="P46" s="547" t="s">
        <v>67</v>
      </c>
      <c r="Q46" s="548" t="s">
        <v>67</v>
      </c>
      <c r="R46" s="545" t="s">
        <v>67</v>
      </c>
      <c r="S46" s="546" t="s">
        <v>67</v>
      </c>
      <c r="T46" s="546" t="s">
        <v>67</v>
      </c>
      <c r="U46" s="546" t="s">
        <v>67</v>
      </c>
      <c r="V46" s="546" t="s">
        <v>67</v>
      </c>
      <c r="W46" s="547" t="s">
        <v>67</v>
      </c>
      <c r="X46" s="548" t="s">
        <v>67</v>
      </c>
      <c r="Y46" s="545" t="s">
        <v>67</v>
      </c>
      <c r="Z46" s="546" t="s">
        <v>67</v>
      </c>
      <c r="AA46" s="546" t="s">
        <v>67</v>
      </c>
      <c r="AB46" s="546" t="s">
        <v>67</v>
      </c>
      <c r="AC46" s="546" t="s">
        <v>67</v>
      </c>
      <c r="AD46" s="547" t="s">
        <v>67</v>
      </c>
      <c r="AE46" s="548" t="s">
        <v>67</v>
      </c>
      <c r="AF46" s="545" t="s">
        <v>67</v>
      </c>
      <c r="AG46" s="546" t="s">
        <v>67</v>
      </c>
      <c r="AH46" s="546" t="s">
        <v>67</v>
      </c>
      <c r="AI46" s="546" t="s">
        <v>67</v>
      </c>
      <c r="AJ46" s="546" t="s">
        <v>67</v>
      </c>
      <c r="AK46" s="547" t="s">
        <v>67</v>
      </c>
      <c r="AL46" s="548" t="s">
        <v>67</v>
      </c>
      <c r="AM46" s="545" t="s">
        <v>67</v>
      </c>
      <c r="AN46" s="546" t="s">
        <v>67</v>
      </c>
      <c r="AO46" s="546" t="s">
        <v>67</v>
      </c>
      <c r="AP46" s="546" t="s">
        <v>67</v>
      </c>
      <c r="AQ46" s="546" t="s">
        <v>67</v>
      </c>
      <c r="AR46" s="547" t="s">
        <v>67</v>
      </c>
      <c r="AS46" s="548" t="s">
        <v>67</v>
      </c>
      <c r="AT46" s="545" t="s">
        <v>67</v>
      </c>
      <c r="AU46" s="546" t="s">
        <v>67</v>
      </c>
      <c r="AV46" s="546" t="s">
        <v>67</v>
      </c>
      <c r="AW46" s="546" t="s">
        <v>67</v>
      </c>
      <c r="AX46" s="546" t="s">
        <v>67</v>
      </c>
      <c r="AY46" s="547" t="s">
        <v>67</v>
      </c>
      <c r="AZ46" s="548" t="s">
        <v>67</v>
      </c>
      <c r="BA46" s="545" t="s">
        <v>67</v>
      </c>
      <c r="BB46" s="546" t="s">
        <v>67</v>
      </c>
      <c r="BC46" s="546" t="s">
        <v>67</v>
      </c>
      <c r="BD46" s="546" t="s">
        <v>67</v>
      </c>
      <c r="BE46" s="546" t="s">
        <v>67</v>
      </c>
      <c r="BF46" s="547" t="s">
        <v>67</v>
      </c>
      <c r="BG46" s="548" t="s">
        <v>67</v>
      </c>
      <c r="BH46" s="545" t="s">
        <v>67</v>
      </c>
      <c r="BI46" s="546" t="s">
        <v>67</v>
      </c>
      <c r="BJ46" s="546" t="s">
        <v>67</v>
      </c>
      <c r="BK46" s="546" t="s">
        <v>67</v>
      </c>
      <c r="BL46" s="546" t="s">
        <v>67</v>
      </c>
      <c r="BM46" s="547" t="s">
        <v>67</v>
      </c>
      <c r="BN46" s="548" t="s">
        <v>67</v>
      </c>
      <c r="BO46" s="545" t="s">
        <v>67</v>
      </c>
      <c r="BP46" s="546" t="s">
        <v>67</v>
      </c>
      <c r="BQ46" s="546" t="s">
        <v>67</v>
      </c>
      <c r="BR46" s="546" t="s">
        <v>67</v>
      </c>
      <c r="BS46" s="546" t="s">
        <v>67</v>
      </c>
      <c r="BT46" s="547" t="s">
        <v>67</v>
      </c>
      <c r="BU46" s="548" t="s">
        <v>67</v>
      </c>
      <c r="BV46" s="545" t="s">
        <v>67</v>
      </c>
      <c r="BW46" s="546" t="s">
        <v>67</v>
      </c>
      <c r="BX46" s="546" t="s">
        <v>67</v>
      </c>
      <c r="BY46" s="546" t="s">
        <v>67</v>
      </c>
      <c r="BZ46" s="546" t="s">
        <v>67</v>
      </c>
      <c r="CA46" s="547" t="s">
        <v>67</v>
      </c>
      <c r="CB46" s="548" t="s">
        <v>67</v>
      </c>
      <c r="CC46" s="545" t="s">
        <v>67</v>
      </c>
      <c r="CD46" s="546" t="s">
        <v>67</v>
      </c>
      <c r="CE46" s="546" t="s">
        <v>67</v>
      </c>
      <c r="CF46" s="546" t="s">
        <v>67</v>
      </c>
      <c r="CG46" s="546" t="s">
        <v>67</v>
      </c>
      <c r="CH46" s="547" t="s">
        <v>67</v>
      </c>
      <c r="CI46" s="548" t="s">
        <v>67</v>
      </c>
      <c r="CJ46" s="545">
        <v>358</v>
      </c>
      <c r="CK46" s="546">
        <v>358</v>
      </c>
      <c r="CL46" s="546">
        <v>280</v>
      </c>
      <c r="CM46" s="546">
        <v>199</v>
      </c>
      <c r="CN46" s="546">
        <v>134</v>
      </c>
      <c r="CO46" s="547">
        <f t="shared" ref="CO46" si="94">CM46/CK46</f>
        <v>0.55586592178770955</v>
      </c>
      <c r="CP46" s="547">
        <f t="shared" ref="CP46" si="95">CM46/CL46</f>
        <v>0.71071428571428574</v>
      </c>
      <c r="CQ46" s="547">
        <v>0.55586592178770955</v>
      </c>
      <c r="CR46" s="548">
        <v>0.71071428571428574</v>
      </c>
      <c r="CS46" s="545">
        <v>376</v>
      </c>
      <c r="CT46" s="546">
        <v>375</v>
      </c>
      <c r="CU46" s="546">
        <v>262</v>
      </c>
      <c r="CV46" s="546">
        <v>154</v>
      </c>
      <c r="CW46" s="546">
        <v>133</v>
      </c>
      <c r="CX46" s="547">
        <f t="shared" si="86"/>
        <v>0.41066666666666668</v>
      </c>
      <c r="CY46" s="547">
        <f t="shared" si="87"/>
        <v>0.58778625954198471</v>
      </c>
      <c r="CZ46" s="547">
        <v>0.44533333333333336</v>
      </c>
      <c r="DA46" s="548">
        <v>0.63740458015267176</v>
      </c>
      <c r="DB46" s="545">
        <v>472</v>
      </c>
      <c r="DC46" s="546">
        <v>452</v>
      </c>
      <c r="DD46" s="546">
        <v>357</v>
      </c>
      <c r="DE46" s="546">
        <v>212</v>
      </c>
      <c r="DF46" s="546">
        <v>209</v>
      </c>
      <c r="DG46" s="547">
        <f t="shared" si="88"/>
        <v>0.46902654867256638</v>
      </c>
      <c r="DH46" s="547">
        <f t="shared" si="89"/>
        <v>0.5938375350140056</v>
      </c>
      <c r="DI46" s="547">
        <v>0.60619469026548678</v>
      </c>
      <c r="DJ46" s="548">
        <v>0.7675070028011205</v>
      </c>
      <c r="DK46" s="545">
        <v>582</v>
      </c>
      <c r="DL46" s="546">
        <v>538</v>
      </c>
      <c r="DM46" s="546">
        <v>411</v>
      </c>
      <c r="DN46" s="546">
        <v>267</v>
      </c>
      <c r="DO46" s="546">
        <v>229</v>
      </c>
      <c r="DP46" s="547">
        <f t="shared" si="90"/>
        <v>0.49628252788104088</v>
      </c>
      <c r="DQ46" s="547">
        <f t="shared" si="91"/>
        <v>0.64963503649635035</v>
      </c>
      <c r="DR46" s="547">
        <v>0.58921933085501854</v>
      </c>
      <c r="DS46" s="548">
        <v>0.77128953771289532</v>
      </c>
      <c r="DT46" s="545">
        <v>646</v>
      </c>
      <c r="DU46" s="546">
        <v>597</v>
      </c>
      <c r="DV46" s="546">
        <v>463</v>
      </c>
      <c r="DW46" s="546">
        <v>278</v>
      </c>
      <c r="DX46" s="546">
        <v>225</v>
      </c>
      <c r="DY46" s="547">
        <f t="shared" si="92"/>
        <v>0.46566164154103851</v>
      </c>
      <c r="DZ46" s="547">
        <f t="shared" si="93"/>
        <v>0.60043196544276456</v>
      </c>
      <c r="EA46" s="547">
        <v>0.50921273031825798</v>
      </c>
      <c r="EB46" s="548">
        <v>0.6565874730021598</v>
      </c>
    </row>
    <row r="47" spans="1:132" s="2" customFormat="1" x14ac:dyDescent="0.25">
      <c r="A47" s="503" t="s">
        <v>216</v>
      </c>
      <c r="B47" s="504" t="s">
        <v>220</v>
      </c>
      <c r="C47" s="505" t="s">
        <v>221</v>
      </c>
      <c r="D47" s="506">
        <v>9798</v>
      </c>
      <c r="E47" s="507">
        <v>6888</v>
      </c>
      <c r="F47" s="507">
        <v>5640</v>
      </c>
      <c r="G47" s="507">
        <v>3252</v>
      </c>
      <c r="H47" s="507">
        <v>2291</v>
      </c>
      <c r="I47" s="508">
        <f t="shared" si="28"/>
        <v>0.47212543554006969</v>
      </c>
      <c r="J47" s="509">
        <f t="shared" si="29"/>
        <v>0.57659574468085106</v>
      </c>
      <c r="K47" s="506">
        <v>10056</v>
      </c>
      <c r="L47" s="507">
        <v>7042</v>
      </c>
      <c r="M47" s="507">
        <v>5732</v>
      </c>
      <c r="N47" s="507">
        <v>3226</v>
      </c>
      <c r="O47" s="507">
        <v>2237</v>
      </c>
      <c r="P47" s="508">
        <f t="shared" si="64"/>
        <v>0.45810849190570863</v>
      </c>
      <c r="Q47" s="509">
        <f t="shared" si="65"/>
        <v>0.56280530355896718</v>
      </c>
      <c r="R47" s="506">
        <v>10291</v>
      </c>
      <c r="S47" s="507">
        <v>7166</v>
      </c>
      <c r="T47" s="507">
        <v>5797</v>
      </c>
      <c r="U47" s="507">
        <v>3530</v>
      </c>
      <c r="V47" s="507">
        <v>2445</v>
      </c>
      <c r="W47" s="508">
        <f t="shared" si="32"/>
        <v>0.49260396315936367</v>
      </c>
      <c r="X47" s="509">
        <f t="shared" si="33"/>
        <v>0.6089356563739865</v>
      </c>
      <c r="Y47" s="506">
        <v>10295</v>
      </c>
      <c r="Z47" s="507">
        <v>7346</v>
      </c>
      <c r="AA47" s="507">
        <v>5862</v>
      </c>
      <c r="AB47" s="507">
        <v>3112</v>
      </c>
      <c r="AC47" s="507">
        <v>2039</v>
      </c>
      <c r="AD47" s="508">
        <f t="shared" si="66"/>
        <v>0.42363190852164445</v>
      </c>
      <c r="AE47" s="509">
        <f t="shared" si="67"/>
        <v>0.53087683384510409</v>
      </c>
      <c r="AF47" s="506">
        <v>8568</v>
      </c>
      <c r="AG47" s="507">
        <v>6195</v>
      </c>
      <c r="AH47" s="507">
        <v>4902</v>
      </c>
      <c r="AI47" s="507">
        <v>2741</v>
      </c>
      <c r="AJ47" s="507">
        <v>1891</v>
      </c>
      <c r="AK47" s="508">
        <f t="shared" si="68"/>
        <v>0.44245359160613396</v>
      </c>
      <c r="AL47" s="509">
        <f t="shared" si="69"/>
        <v>0.55915952672378622</v>
      </c>
      <c r="AM47" s="506">
        <v>7045</v>
      </c>
      <c r="AN47" s="507">
        <v>5113</v>
      </c>
      <c r="AO47" s="507">
        <v>4060</v>
      </c>
      <c r="AP47" s="507">
        <v>2621</v>
      </c>
      <c r="AQ47" s="507">
        <v>1780</v>
      </c>
      <c r="AR47" s="508">
        <f t="shared" si="70"/>
        <v>0.51261490318795233</v>
      </c>
      <c r="AS47" s="509">
        <f t="shared" si="71"/>
        <v>0.64556650246305414</v>
      </c>
      <c r="AT47" s="506">
        <v>6898</v>
      </c>
      <c r="AU47" s="507">
        <v>4822</v>
      </c>
      <c r="AV47" s="507">
        <v>3966</v>
      </c>
      <c r="AW47" s="507">
        <v>2543</v>
      </c>
      <c r="AX47" s="507">
        <v>1752</v>
      </c>
      <c r="AY47" s="508">
        <f t="shared" si="72"/>
        <v>0.52737453338863538</v>
      </c>
      <c r="AZ47" s="509">
        <f t="shared" si="73"/>
        <v>0.64120020171457393</v>
      </c>
      <c r="BA47" s="506">
        <v>5853</v>
      </c>
      <c r="BB47" s="507">
        <v>4222</v>
      </c>
      <c r="BC47" s="507">
        <v>3440</v>
      </c>
      <c r="BD47" s="507">
        <v>2382</v>
      </c>
      <c r="BE47" s="507">
        <v>1553</v>
      </c>
      <c r="BF47" s="508">
        <f t="shared" si="74"/>
        <v>0.56418758882046427</v>
      </c>
      <c r="BG47" s="509">
        <f t="shared" si="75"/>
        <v>0.69244186046511624</v>
      </c>
      <c r="BH47" s="506">
        <v>5151</v>
      </c>
      <c r="BI47" s="507">
        <v>3718</v>
      </c>
      <c r="BJ47" s="507">
        <v>2960</v>
      </c>
      <c r="BK47" s="507">
        <v>2168</v>
      </c>
      <c r="BL47" s="507">
        <v>1404</v>
      </c>
      <c r="BM47" s="508">
        <f t="shared" si="76"/>
        <v>0.58310919849381393</v>
      </c>
      <c r="BN47" s="509">
        <f t="shared" si="77"/>
        <v>0.73243243243243239</v>
      </c>
      <c r="BO47" s="506">
        <v>5008</v>
      </c>
      <c r="BP47" s="507">
        <v>3679</v>
      </c>
      <c r="BQ47" s="507">
        <v>3039</v>
      </c>
      <c r="BR47" s="507">
        <v>2126</v>
      </c>
      <c r="BS47" s="507">
        <v>1374</v>
      </c>
      <c r="BT47" s="508">
        <f t="shared" si="78"/>
        <v>0.57787442239739062</v>
      </c>
      <c r="BU47" s="509">
        <f t="shared" si="79"/>
        <v>0.69957222770648242</v>
      </c>
      <c r="BV47" s="506">
        <v>5053</v>
      </c>
      <c r="BW47" s="507">
        <v>3988</v>
      </c>
      <c r="BX47" s="507">
        <v>3521</v>
      </c>
      <c r="BY47" s="507">
        <v>2326</v>
      </c>
      <c r="BZ47" s="507">
        <v>1470</v>
      </c>
      <c r="CA47" s="508">
        <f t="shared" si="80"/>
        <v>0.5832497492477432</v>
      </c>
      <c r="CB47" s="509">
        <f t="shared" si="81"/>
        <v>0.66060778188014768</v>
      </c>
      <c r="CC47" s="506">
        <v>5487</v>
      </c>
      <c r="CD47" s="507">
        <v>4294</v>
      </c>
      <c r="CE47" s="507">
        <v>3518</v>
      </c>
      <c r="CF47" s="507">
        <v>2241</v>
      </c>
      <c r="CG47" s="507">
        <v>1471</v>
      </c>
      <c r="CH47" s="508">
        <f t="shared" si="82"/>
        <v>0.52189101071262223</v>
      </c>
      <c r="CI47" s="509">
        <f t="shared" si="83"/>
        <v>0.63700966458214892</v>
      </c>
      <c r="CJ47" s="506">
        <v>6573</v>
      </c>
      <c r="CK47" s="507">
        <v>5173</v>
      </c>
      <c r="CL47" s="507">
        <v>4795</v>
      </c>
      <c r="CM47" s="507">
        <v>2087</v>
      </c>
      <c r="CN47" s="507">
        <v>1368</v>
      </c>
      <c r="CO47" s="508">
        <f t="shared" ref="CO47:CO74" si="96">CM47/CK47</f>
        <v>0.40344094335975256</v>
      </c>
      <c r="CP47" s="508">
        <f t="shared" ref="CP47:CP74" si="97">CM47/CL47</f>
        <v>0.43524504692387905</v>
      </c>
      <c r="CQ47" s="508">
        <v>0.41774598878793739</v>
      </c>
      <c r="CR47" s="509">
        <v>0.45067778936392078</v>
      </c>
      <c r="CS47" s="506">
        <v>5744</v>
      </c>
      <c r="CT47" s="507">
        <v>4600</v>
      </c>
      <c r="CU47" s="507">
        <v>4105</v>
      </c>
      <c r="CV47" s="507">
        <v>1724</v>
      </c>
      <c r="CW47" s="507">
        <v>1300</v>
      </c>
      <c r="CX47" s="508">
        <f t="shared" si="86"/>
        <v>0.37478260869565216</v>
      </c>
      <c r="CY47" s="508">
        <f t="shared" si="87"/>
        <v>0.41997563946406818</v>
      </c>
      <c r="CZ47" s="508">
        <v>0.42478260869565215</v>
      </c>
      <c r="DA47" s="509">
        <v>0.47600487210718634</v>
      </c>
      <c r="DB47" s="506">
        <v>5999</v>
      </c>
      <c r="DC47" s="507">
        <v>4639</v>
      </c>
      <c r="DD47" s="507">
        <v>4045</v>
      </c>
      <c r="DE47" s="507">
        <v>1686</v>
      </c>
      <c r="DF47" s="507">
        <v>1382</v>
      </c>
      <c r="DG47" s="508">
        <f t="shared" si="88"/>
        <v>0.36344039663720629</v>
      </c>
      <c r="DH47" s="508">
        <f t="shared" si="89"/>
        <v>0.41681087762669961</v>
      </c>
      <c r="DI47" s="508">
        <v>0.46604871739599052</v>
      </c>
      <c r="DJ47" s="509">
        <v>0.53448702101359702</v>
      </c>
      <c r="DK47" s="506">
        <v>6112</v>
      </c>
      <c r="DL47" s="507">
        <v>4822</v>
      </c>
      <c r="DM47" s="507">
        <v>4042</v>
      </c>
      <c r="DN47" s="507">
        <v>1622</v>
      </c>
      <c r="DO47" s="507">
        <v>1326</v>
      </c>
      <c r="DP47" s="508">
        <f t="shared" si="90"/>
        <v>0.33637494815429281</v>
      </c>
      <c r="DQ47" s="508">
        <f t="shared" si="91"/>
        <v>0.4012864918357249</v>
      </c>
      <c r="DR47" s="508">
        <v>0.41414350891746166</v>
      </c>
      <c r="DS47" s="509">
        <v>0.49406234537357746</v>
      </c>
      <c r="DT47" s="506">
        <v>5775</v>
      </c>
      <c r="DU47" s="507">
        <v>4623</v>
      </c>
      <c r="DV47" s="507">
        <v>3700</v>
      </c>
      <c r="DW47" s="507">
        <v>1766</v>
      </c>
      <c r="DX47" s="507">
        <v>1445</v>
      </c>
      <c r="DY47" s="508">
        <f t="shared" si="92"/>
        <v>0.38200302833657795</v>
      </c>
      <c r="DZ47" s="508">
        <f t="shared" si="93"/>
        <v>0.47729729729729731</v>
      </c>
      <c r="EA47" s="508">
        <v>0.43132165260653255</v>
      </c>
      <c r="EB47" s="509">
        <v>0.53891891891891897</v>
      </c>
    </row>
    <row r="48" spans="1:132" s="2" customFormat="1" x14ac:dyDescent="0.25">
      <c r="A48" s="503" t="s">
        <v>216</v>
      </c>
      <c r="B48" s="504" t="s">
        <v>222</v>
      </c>
      <c r="C48" s="505" t="s">
        <v>223</v>
      </c>
      <c r="D48" s="506">
        <v>6380</v>
      </c>
      <c r="E48" s="507">
        <v>5628</v>
      </c>
      <c r="F48" s="507">
        <v>5026</v>
      </c>
      <c r="G48" s="507">
        <v>1025</v>
      </c>
      <c r="H48" s="507">
        <v>952</v>
      </c>
      <c r="I48" s="508">
        <f t="shared" si="28"/>
        <v>0.18212508884150674</v>
      </c>
      <c r="J48" s="509">
        <f t="shared" si="29"/>
        <v>0.20393951452447273</v>
      </c>
      <c r="K48" s="506">
        <v>6339</v>
      </c>
      <c r="L48" s="507">
        <v>5468</v>
      </c>
      <c r="M48" s="507">
        <v>4955</v>
      </c>
      <c r="N48" s="507">
        <v>967</v>
      </c>
      <c r="O48" s="507">
        <v>910</v>
      </c>
      <c r="P48" s="508">
        <f t="shared" si="64"/>
        <v>0.17684711046086321</v>
      </c>
      <c r="Q48" s="509">
        <f t="shared" si="65"/>
        <v>0.1951564076690212</v>
      </c>
      <c r="R48" s="506">
        <v>6629</v>
      </c>
      <c r="S48" s="507">
        <v>5734</v>
      </c>
      <c r="T48" s="507">
        <v>5170</v>
      </c>
      <c r="U48" s="507">
        <v>962</v>
      </c>
      <c r="V48" s="507">
        <v>913</v>
      </c>
      <c r="W48" s="508">
        <f t="shared" si="32"/>
        <v>0.16777118939658178</v>
      </c>
      <c r="X48" s="509">
        <f t="shared" si="33"/>
        <v>0.186073500967118</v>
      </c>
      <c r="Y48" s="506">
        <v>5856</v>
      </c>
      <c r="Z48" s="507">
        <v>5104</v>
      </c>
      <c r="AA48" s="507">
        <v>4604</v>
      </c>
      <c r="AB48" s="507">
        <v>835</v>
      </c>
      <c r="AC48" s="507">
        <v>766</v>
      </c>
      <c r="AD48" s="508">
        <f t="shared" si="66"/>
        <v>0.16359717868338558</v>
      </c>
      <c r="AE48" s="509">
        <f t="shared" si="67"/>
        <v>0.18136403127715031</v>
      </c>
      <c r="AF48" s="506">
        <v>4977</v>
      </c>
      <c r="AG48" s="507">
        <v>4396</v>
      </c>
      <c r="AH48" s="507">
        <v>3990</v>
      </c>
      <c r="AI48" s="507">
        <v>972</v>
      </c>
      <c r="AJ48" s="507">
        <v>745</v>
      </c>
      <c r="AK48" s="508">
        <f t="shared" si="68"/>
        <v>0.2211101000909918</v>
      </c>
      <c r="AL48" s="509">
        <f t="shared" si="69"/>
        <v>0.24360902255639097</v>
      </c>
      <c r="AM48" s="506">
        <v>4236</v>
      </c>
      <c r="AN48" s="507">
        <v>3668</v>
      </c>
      <c r="AO48" s="507">
        <v>3283</v>
      </c>
      <c r="AP48" s="507">
        <v>949</v>
      </c>
      <c r="AQ48" s="507">
        <v>723</v>
      </c>
      <c r="AR48" s="508">
        <f t="shared" si="70"/>
        <v>0.25872410032715376</v>
      </c>
      <c r="AS48" s="509">
        <f t="shared" si="71"/>
        <v>0.28906487968321659</v>
      </c>
      <c r="AT48" s="506">
        <v>3871</v>
      </c>
      <c r="AU48" s="507">
        <v>3372</v>
      </c>
      <c r="AV48" s="507">
        <v>2946</v>
      </c>
      <c r="AW48" s="507">
        <v>1086</v>
      </c>
      <c r="AX48" s="507">
        <v>875</v>
      </c>
      <c r="AY48" s="508">
        <f t="shared" si="72"/>
        <v>0.3220640569395018</v>
      </c>
      <c r="AZ48" s="509">
        <f t="shared" si="73"/>
        <v>0.36863543788187375</v>
      </c>
      <c r="BA48" s="506">
        <v>3484</v>
      </c>
      <c r="BB48" s="507">
        <v>2996</v>
      </c>
      <c r="BC48" s="507">
        <v>2683</v>
      </c>
      <c r="BD48" s="507">
        <v>918</v>
      </c>
      <c r="BE48" s="507">
        <v>689</v>
      </c>
      <c r="BF48" s="508">
        <f t="shared" si="74"/>
        <v>0.30640854472630175</v>
      </c>
      <c r="BG48" s="509">
        <f t="shared" si="75"/>
        <v>0.34215430488259413</v>
      </c>
      <c r="BH48" s="506">
        <v>3068</v>
      </c>
      <c r="BI48" s="507">
        <v>2733</v>
      </c>
      <c r="BJ48" s="507">
        <v>2378</v>
      </c>
      <c r="BK48" s="507">
        <v>941</v>
      </c>
      <c r="BL48" s="507">
        <v>683</v>
      </c>
      <c r="BM48" s="508">
        <f t="shared" si="76"/>
        <v>0.34431028174167583</v>
      </c>
      <c r="BN48" s="509">
        <f t="shared" si="77"/>
        <v>0.39571068124474346</v>
      </c>
      <c r="BO48" s="506">
        <v>2746</v>
      </c>
      <c r="BP48" s="507">
        <v>2545</v>
      </c>
      <c r="BQ48" s="507">
        <v>2273</v>
      </c>
      <c r="BR48" s="507">
        <v>1044</v>
      </c>
      <c r="BS48" s="507">
        <v>815</v>
      </c>
      <c r="BT48" s="508">
        <f t="shared" si="78"/>
        <v>0.41021611001964636</v>
      </c>
      <c r="BU48" s="509">
        <f t="shared" si="79"/>
        <v>0.45930488341399034</v>
      </c>
      <c r="BV48" s="506">
        <v>2635</v>
      </c>
      <c r="BW48" s="507">
        <v>2426</v>
      </c>
      <c r="BX48" s="507">
        <v>2187</v>
      </c>
      <c r="BY48" s="507">
        <v>951</v>
      </c>
      <c r="BZ48" s="507">
        <v>717</v>
      </c>
      <c r="CA48" s="508">
        <f t="shared" si="80"/>
        <v>0.3920032976092333</v>
      </c>
      <c r="CB48" s="509">
        <f t="shared" si="81"/>
        <v>0.43484224965706447</v>
      </c>
      <c r="CC48" s="506">
        <v>2564</v>
      </c>
      <c r="CD48" s="507">
        <v>2353</v>
      </c>
      <c r="CE48" s="507">
        <v>1954</v>
      </c>
      <c r="CF48" s="507">
        <v>983</v>
      </c>
      <c r="CG48" s="507">
        <v>768</v>
      </c>
      <c r="CH48" s="508">
        <f t="shared" si="82"/>
        <v>0.41776455588610284</v>
      </c>
      <c r="CI48" s="509">
        <f t="shared" si="83"/>
        <v>0.5030706243602866</v>
      </c>
      <c r="CJ48" s="506">
        <v>2820</v>
      </c>
      <c r="CK48" s="507">
        <v>2569</v>
      </c>
      <c r="CL48" s="507">
        <v>2334</v>
      </c>
      <c r="CM48" s="507">
        <v>1013</v>
      </c>
      <c r="CN48" s="507">
        <v>754</v>
      </c>
      <c r="CO48" s="508">
        <f t="shared" si="96"/>
        <v>0.39431685480731804</v>
      </c>
      <c r="CP48" s="508">
        <f t="shared" si="97"/>
        <v>0.43401885175664096</v>
      </c>
      <c r="CQ48" s="508">
        <v>0.39431685480731804</v>
      </c>
      <c r="CR48" s="509">
        <v>0.43401885175664096</v>
      </c>
      <c r="CS48" s="506">
        <v>2562</v>
      </c>
      <c r="CT48" s="507">
        <v>2362</v>
      </c>
      <c r="CU48" s="507">
        <v>2141</v>
      </c>
      <c r="CV48" s="507">
        <v>969</v>
      </c>
      <c r="CW48" s="507">
        <v>770</v>
      </c>
      <c r="CX48" s="508">
        <f t="shared" si="86"/>
        <v>0.41024555461473328</v>
      </c>
      <c r="CY48" s="508">
        <f t="shared" si="87"/>
        <v>0.45259224661373187</v>
      </c>
      <c r="CZ48" s="508">
        <v>0.44369178662150721</v>
      </c>
      <c r="DA48" s="509">
        <v>0.48949089210649227</v>
      </c>
      <c r="DB48" s="506">
        <v>2357</v>
      </c>
      <c r="DC48" s="507">
        <v>2193</v>
      </c>
      <c r="DD48" s="507">
        <v>2016</v>
      </c>
      <c r="DE48" s="507">
        <v>841</v>
      </c>
      <c r="DF48" s="507">
        <v>702</v>
      </c>
      <c r="DG48" s="508">
        <f t="shared" si="88"/>
        <v>0.38349293205654356</v>
      </c>
      <c r="DH48" s="508">
        <f t="shared" si="89"/>
        <v>0.41716269841269843</v>
      </c>
      <c r="DI48" s="508">
        <v>0.42909256725946193</v>
      </c>
      <c r="DJ48" s="509">
        <v>0.46676587301587302</v>
      </c>
      <c r="DK48" s="506">
        <v>2833</v>
      </c>
      <c r="DL48" s="507">
        <v>2630</v>
      </c>
      <c r="DM48" s="507">
        <v>2447</v>
      </c>
      <c r="DN48" s="507">
        <v>954</v>
      </c>
      <c r="DO48" s="507">
        <v>776</v>
      </c>
      <c r="DP48" s="508">
        <f t="shared" si="90"/>
        <v>0.36273764258555136</v>
      </c>
      <c r="DQ48" s="508">
        <f t="shared" si="91"/>
        <v>0.38986514098896607</v>
      </c>
      <c r="DR48" s="508">
        <v>0.41140684410646389</v>
      </c>
      <c r="DS48" s="509">
        <v>0.44217409072333469</v>
      </c>
      <c r="DT48" s="506">
        <v>3641</v>
      </c>
      <c r="DU48" s="507">
        <v>3216</v>
      </c>
      <c r="DV48" s="507">
        <v>2984</v>
      </c>
      <c r="DW48" s="507">
        <v>1058</v>
      </c>
      <c r="DX48" s="507">
        <v>847</v>
      </c>
      <c r="DY48" s="508">
        <f t="shared" si="92"/>
        <v>0.32898009950248758</v>
      </c>
      <c r="DZ48" s="508">
        <f t="shared" si="93"/>
        <v>0.35455764075067026</v>
      </c>
      <c r="EA48" s="508">
        <v>0.35136815920398012</v>
      </c>
      <c r="EB48" s="509">
        <v>0.37868632707774796</v>
      </c>
    </row>
    <row r="49" spans="1:132" s="2" customFormat="1" x14ac:dyDescent="0.25">
      <c r="A49" s="503" t="s">
        <v>216</v>
      </c>
      <c r="B49" s="504" t="s">
        <v>224</v>
      </c>
      <c r="C49" s="505" t="s">
        <v>225</v>
      </c>
      <c r="D49" s="506">
        <v>9464</v>
      </c>
      <c r="E49" s="507">
        <v>5720</v>
      </c>
      <c r="F49" s="507">
        <v>4419</v>
      </c>
      <c r="G49" s="507">
        <v>1121</v>
      </c>
      <c r="H49" s="507">
        <v>792</v>
      </c>
      <c r="I49" s="508">
        <f t="shared" si="28"/>
        <v>0.19597902097902098</v>
      </c>
      <c r="J49" s="509">
        <f t="shared" si="29"/>
        <v>0.25367730255713961</v>
      </c>
      <c r="K49" s="506">
        <v>8289</v>
      </c>
      <c r="L49" s="507">
        <v>4874</v>
      </c>
      <c r="M49" s="507">
        <v>3902</v>
      </c>
      <c r="N49" s="507">
        <v>1052</v>
      </c>
      <c r="O49" s="507">
        <v>698</v>
      </c>
      <c r="P49" s="508">
        <f t="shared" si="64"/>
        <v>0.21583914649158803</v>
      </c>
      <c r="Q49" s="509">
        <f t="shared" si="65"/>
        <v>0.26960533059969244</v>
      </c>
      <c r="R49" s="506">
        <v>8058</v>
      </c>
      <c r="S49" s="507">
        <v>4889</v>
      </c>
      <c r="T49" s="507">
        <v>3865</v>
      </c>
      <c r="U49" s="507">
        <v>1125</v>
      </c>
      <c r="V49" s="507">
        <v>722</v>
      </c>
      <c r="W49" s="508">
        <f t="shared" si="32"/>
        <v>0.23010840662712212</v>
      </c>
      <c r="X49" s="509">
        <f t="shared" si="33"/>
        <v>0.29107373868046571</v>
      </c>
      <c r="Y49" s="506">
        <v>6224</v>
      </c>
      <c r="Z49" s="507">
        <v>4102</v>
      </c>
      <c r="AA49" s="507">
        <v>3201</v>
      </c>
      <c r="AB49" s="507">
        <v>992</v>
      </c>
      <c r="AC49" s="507">
        <v>636</v>
      </c>
      <c r="AD49" s="508">
        <f t="shared" si="66"/>
        <v>0.24183325207215992</v>
      </c>
      <c r="AE49" s="509">
        <f t="shared" si="67"/>
        <v>0.30990315526397999</v>
      </c>
      <c r="AF49" s="506">
        <v>5953</v>
      </c>
      <c r="AG49" s="507">
        <v>3921</v>
      </c>
      <c r="AH49" s="507">
        <v>3065</v>
      </c>
      <c r="AI49" s="507">
        <v>889</v>
      </c>
      <c r="AJ49" s="507">
        <v>532</v>
      </c>
      <c r="AK49" s="508">
        <f t="shared" si="68"/>
        <v>0.22672787554195359</v>
      </c>
      <c r="AL49" s="509">
        <f t="shared" si="69"/>
        <v>0.29004893964110928</v>
      </c>
      <c r="AM49" s="506">
        <v>4707</v>
      </c>
      <c r="AN49" s="507">
        <v>3164</v>
      </c>
      <c r="AO49" s="507">
        <v>2464</v>
      </c>
      <c r="AP49" s="507">
        <v>805</v>
      </c>
      <c r="AQ49" s="507">
        <v>472</v>
      </c>
      <c r="AR49" s="508">
        <f t="shared" si="70"/>
        <v>0.25442477876106195</v>
      </c>
      <c r="AS49" s="509">
        <f t="shared" si="71"/>
        <v>0.32670454545454547</v>
      </c>
      <c r="AT49" s="506">
        <v>4911</v>
      </c>
      <c r="AU49" s="507">
        <v>3143</v>
      </c>
      <c r="AV49" s="507">
        <v>2516</v>
      </c>
      <c r="AW49" s="507">
        <v>776</v>
      </c>
      <c r="AX49" s="507">
        <v>468</v>
      </c>
      <c r="AY49" s="508">
        <f t="shared" si="72"/>
        <v>0.2468978682787146</v>
      </c>
      <c r="AZ49" s="509">
        <f t="shared" si="73"/>
        <v>0.30842607313195547</v>
      </c>
      <c r="BA49" s="506">
        <v>4979</v>
      </c>
      <c r="BB49" s="507">
        <v>3213</v>
      </c>
      <c r="BC49" s="507">
        <v>2666</v>
      </c>
      <c r="BD49" s="507">
        <v>818</v>
      </c>
      <c r="BE49" s="507">
        <v>499</v>
      </c>
      <c r="BF49" s="508">
        <f t="shared" si="74"/>
        <v>0.25459072517896048</v>
      </c>
      <c r="BG49" s="509">
        <f t="shared" si="75"/>
        <v>0.30682670667666917</v>
      </c>
      <c r="BH49" s="506">
        <v>4729</v>
      </c>
      <c r="BI49" s="507">
        <v>2989</v>
      </c>
      <c r="BJ49" s="507">
        <v>2397</v>
      </c>
      <c r="BK49" s="507">
        <v>785</v>
      </c>
      <c r="BL49" s="507">
        <v>481</v>
      </c>
      <c r="BM49" s="508">
        <f t="shared" si="76"/>
        <v>0.26262964202074274</v>
      </c>
      <c r="BN49" s="509">
        <f t="shared" si="77"/>
        <v>0.32749269920734253</v>
      </c>
      <c r="BO49" s="506">
        <v>4196</v>
      </c>
      <c r="BP49" s="507">
        <v>2714</v>
      </c>
      <c r="BQ49" s="507">
        <v>2212</v>
      </c>
      <c r="BR49" s="507">
        <v>828</v>
      </c>
      <c r="BS49" s="507">
        <v>499</v>
      </c>
      <c r="BT49" s="508">
        <f t="shared" si="78"/>
        <v>0.30508474576271188</v>
      </c>
      <c r="BU49" s="509">
        <f t="shared" si="79"/>
        <v>0.37432188065099459</v>
      </c>
      <c r="BV49" s="506">
        <v>3355</v>
      </c>
      <c r="BW49" s="507">
        <v>2662</v>
      </c>
      <c r="BX49" s="507">
        <v>2137</v>
      </c>
      <c r="BY49" s="507">
        <v>785</v>
      </c>
      <c r="BZ49" s="507">
        <v>481</v>
      </c>
      <c r="CA49" s="508">
        <f t="shared" si="80"/>
        <v>0.29489105935386928</v>
      </c>
      <c r="CB49" s="509">
        <f t="shared" si="81"/>
        <v>0.36733738886289191</v>
      </c>
      <c r="CC49" s="506">
        <v>3362</v>
      </c>
      <c r="CD49" s="507">
        <v>2688</v>
      </c>
      <c r="CE49" s="507">
        <v>2229</v>
      </c>
      <c r="CF49" s="507">
        <v>825</v>
      </c>
      <c r="CG49" s="507">
        <v>486</v>
      </c>
      <c r="CH49" s="508">
        <f t="shared" si="82"/>
        <v>0.30691964285714285</v>
      </c>
      <c r="CI49" s="509">
        <f t="shared" si="83"/>
        <v>0.37012113055181695</v>
      </c>
      <c r="CJ49" s="506">
        <v>3997</v>
      </c>
      <c r="CK49" s="507">
        <v>3148</v>
      </c>
      <c r="CL49" s="507">
        <v>2605</v>
      </c>
      <c r="CM49" s="507">
        <v>942</v>
      </c>
      <c r="CN49" s="507">
        <v>625</v>
      </c>
      <c r="CO49" s="508">
        <f t="shared" si="96"/>
        <v>0.29923761118170267</v>
      </c>
      <c r="CP49" s="508">
        <f t="shared" si="97"/>
        <v>0.3616122840690979</v>
      </c>
      <c r="CQ49" s="508">
        <v>0.29923761118170267</v>
      </c>
      <c r="CR49" s="509">
        <v>0.3616122840690979</v>
      </c>
      <c r="CS49" s="506">
        <v>3621</v>
      </c>
      <c r="CT49" s="507">
        <v>2871</v>
      </c>
      <c r="CU49" s="507">
        <v>2316</v>
      </c>
      <c r="CV49" s="507">
        <v>651</v>
      </c>
      <c r="CW49" s="507">
        <v>495</v>
      </c>
      <c r="CX49" s="508">
        <f t="shared" si="86"/>
        <v>0.22675026123301986</v>
      </c>
      <c r="CY49" s="508">
        <f t="shared" si="87"/>
        <v>0.2810880829015544</v>
      </c>
      <c r="CZ49" s="508">
        <v>0.28039010797631486</v>
      </c>
      <c r="DA49" s="509">
        <v>0.34758203799654575</v>
      </c>
      <c r="DB49" s="506">
        <v>3586</v>
      </c>
      <c r="DC49" s="507">
        <v>2781</v>
      </c>
      <c r="DD49" s="507">
        <v>2270</v>
      </c>
      <c r="DE49" s="507">
        <v>702</v>
      </c>
      <c r="DF49" s="507">
        <v>540</v>
      </c>
      <c r="DG49" s="508">
        <f t="shared" si="88"/>
        <v>0.25242718446601942</v>
      </c>
      <c r="DH49" s="508">
        <f t="shared" si="89"/>
        <v>0.3092511013215859</v>
      </c>
      <c r="DI49" s="508">
        <v>0.32074793239841781</v>
      </c>
      <c r="DJ49" s="509">
        <v>0.39295154185022024</v>
      </c>
      <c r="DK49" s="506">
        <v>3997</v>
      </c>
      <c r="DL49" s="507">
        <v>3039</v>
      </c>
      <c r="DM49" s="507">
        <v>2633</v>
      </c>
      <c r="DN49" s="507">
        <v>744</v>
      </c>
      <c r="DO49" s="507">
        <v>578</v>
      </c>
      <c r="DP49" s="508">
        <f t="shared" si="90"/>
        <v>0.24481737413622903</v>
      </c>
      <c r="DQ49" s="508">
        <f t="shared" si="91"/>
        <v>0.28256741359665782</v>
      </c>
      <c r="DR49" s="508">
        <v>0.31161566304705496</v>
      </c>
      <c r="DS49" s="509">
        <v>0.35966578047854159</v>
      </c>
      <c r="DT49" s="506">
        <v>4052</v>
      </c>
      <c r="DU49" s="507">
        <v>3020</v>
      </c>
      <c r="DV49" s="507">
        <v>2591</v>
      </c>
      <c r="DW49" s="507">
        <v>813</v>
      </c>
      <c r="DX49" s="507">
        <v>654</v>
      </c>
      <c r="DY49" s="508">
        <f t="shared" si="92"/>
        <v>0.26920529801324505</v>
      </c>
      <c r="DZ49" s="508">
        <f t="shared" si="93"/>
        <v>0.31377846391354691</v>
      </c>
      <c r="EA49" s="508">
        <v>0.31523178807947022</v>
      </c>
      <c r="EB49" s="509">
        <v>0.36742570436125049</v>
      </c>
    </row>
    <row r="50" spans="1:132" s="2" customFormat="1" x14ac:dyDescent="0.25">
      <c r="A50" s="503" t="s">
        <v>216</v>
      </c>
      <c r="B50" s="504" t="s">
        <v>226</v>
      </c>
      <c r="C50" s="505" t="s">
        <v>227</v>
      </c>
      <c r="D50" s="506">
        <v>3655</v>
      </c>
      <c r="E50" s="507">
        <v>2793</v>
      </c>
      <c r="F50" s="507">
        <v>2618</v>
      </c>
      <c r="G50" s="507">
        <v>2133</v>
      </c>
      <c r="H50" s="507">
        <v>1187</v>
      </c>
      <c r="I50" s="508">
        <f t="shared" si="28"/>
        <v>0.76369495166487644</v>
      </c>
      <c r="J50" s="509">
        <f t="shared" si="29"/>
        <v>0.81474407944996186</v>
      </c>
      <c r="K50" s="506">
        <v>4053</v>
      </c>
      <c r="L50" s="507">
        <v>3028</v>
      </c>
      <c r="M50" s="507">
        <v>2834</v>
      </c>
      <c r="N50" s="507">
        <v>2230</v>
      </c>
      <c r="O50" s="507">
        <v>1133</v>
      </c>
      <c r="P50" s="508">
        <f t="shared" si="64"/>
        <v>0.73645970937912819</v>
      </c>
      <c r="Q50" s="509">
        <f t="shared" si="65"/>
        <v>0.78687367678193365</v>
      </c>
      <c r="R50" s="506">
        <v>3490</v>
      </c>
      <c r="S50" s="507">
        <v>2612</v>
      </c>
      <c r="T50" s="507">
        <v>2363</v>
      </c>
      <c r="U50" s="507">
        <v>1635</v>
      </c>
      <c r="V50" s="507">
        <v>900</v>
      </c>
      <c r="W50" s="508">
        <f t="shared" si="32"/>
        <v>0.62595712098009193</v>
      </c>
      <c r="X50" s="509">
        <f t="shared" si="33"/>
        <v>0.69191705459162078</v>
      </c>
      <c r="Y50" s="506">
        <v>3186</v>
      </c>
      <c r="Z50" s="507">
        <v>2412</v>
      </c>
      <c r="AA50" s="507">
        <v>2187</v>
      </c>
      <c r="AB50" s="507">
        <v>1460</v>
      </c>
      <c r="AC50" s="507">
        <v>832</v>
      </c>
      <c r="AD50" s="508">
        <f t="shared" si="66"/>
        <v>0.6053067993366501</v>
      </c>
      <c r="AE50" s="509">
        <f t="shared" si="67"/>
        <v>0.66758116140832191</v>
      </c>
      <c r="AF50" s="506">
        <v>3369</v>
      </c>
      <c r="AG50" s="507">
        <v>2460</v>
      </c>
      <c r="AH50" s="507">
        <v>2291</v>
      </c>
      <c r="AI50" s="507">
        <v>1419</v>
      </c>
      <c r="AJ50" s="507">
        <v>827</v>
      </c>
      <c r="AK50" s="508">
        <f t="shared" si="68"/>
        <v>0.57682926829268288</v>
      </c>
      <c r="AL50" s="509">
        <f t="shared" si="69"/>
        <v>0.61938018332605849</v>
      </c>
      <c r="AM50" s="506">
        <v>2951</v>
      </c>
      <c r="AN50" s="507">
        <v>2104</v>
      </c>
      <c r="AO50" s="507">
        <v>1921</v>
      </c>
      <c r="AP50" s="507">
        <v>1222</v>
      </c>
      <c r="AQ50" s="507">
        <v>708</v>
      </c>
      <c r="AR50" s="508">
        <f t="shared" si="70"/>
        <v>0.58079847908745252</v>
      </c>
      <c r="AS50" s="509">
        <f t="shared" si="71"/>
        <v>0.6361270171785528</v>
      </c>
      <c r="AT50" s="506">
        <v>2770</v>
      </c>
      <c r="AU50" s="507">
        <v>1973</v>
      </c>
      <c r="AV50" s="507">
        <v>1780</v>
      </c>
      <c r="AW50" s="507">
        <v>1245</v>
      </c>
      <c r="AX50" s="507">
        <v>707</v>
      </c>
      <c r="AY50" s="508">
        <f t="shared" si="72"/>
        <v>0.63101875316776479</v>
      </c>
      <c r="AZ50" s="509">
        <f t="shared" si="73"/>
        <v>0.699438202247191</v>
      </c>
      <c r="BA50" s="506">
        <v>2695</v>
      </c>
      <c r="BB50" s="507">
        <v>1906</v>
      </c>
      <c r="BC50" s="507">
        <v>1734</v>
      </c>
      <c r="BD50" s="507">
        <v>1159</v>
      </c>
      <c r="BE50" s="507">
        <v>679</v>
      </c>
      <c r="BF50" s="508">
        <f t="shared" si="74"/>
        <v>0.60807974816369359</v>
      </c>
      <c r="BG50" s="509">
        <f t="shared" si="75"/>
        <v>0.66839677047289503</v>
      </c>
      <c r="BH50" s="506">
        <v>2521</v>
      </c>
      <c r="BI50" s="507">
        <v>1805</v>
      </c>
      <c r="BJ50" s="507">
        <v>1605</v>
      </c>
      <c r="BK50" s="507">
        <v>1198</v>
      </c>
      <c r="BL50" s="507">
        <v>690</v>
      </c>
      <c r="BM50" s="508">
        <f t="shared" si="76"/>
        <v>0.66371191135734076</v>
      </c>
      <c r="BN50" s="509">
        <f t="shared" si="77"/>
        <v>0.74641744548286604</v>
      </c>
      <c r="BO50" s="506">
        <v>2551</v>
      </c>
      <c r="BP50" s="507">
        <v>1830</v>
      </c>
      <c r="BQ50" s="507">
        <v>1686</v>
      </c>
      <c r="BR50" s="507">
        <v>1247</v>
      </c>
      <c r="BS50" s="507">
        <v>692</v>
      </c>
      <c r="BT50" s="508">
        <f t="shared" si="78"/>
        <v>0.68142076502732241</v>
      </c>
      <c r="BU50" s="509">
        <f t="shared" si="79"/>
        <v>0.73962040332147094</v>
      </c>
      <c r="BV50" s="506">
        <v>2384</v>
      </c>
      <c r="BW50" s="507">
        <v>1797</v>
      </c>
      <c r="BX50" s="507">
        <v>1676</v>
      </c>
      <c r="BY50" s="507">
        <v>1149</v>
      </c>
      <c r="BZ50" s="507">
        <v>642</v>
      </c>
      <c r="CA50" s="508">
        <f t="shared" si="80"/>
        <v>0.63939899833055092</v>
      </c>
      <c r="CB50" s="509">
        <f t="shared" si="81"/>
        <v>0.68556085918854415</v>
      </c>
      <c r="CC50" s="506">
        <v>2233</v>
      </c>
      <c r="CD50" s="507">
        <v>1691</v>
      </c>
      <c r="CE50" s="507">
        <v>1507</v>
      </c>
      <c r="CF50" s="507">
        <v>1235</v>
      </c>
      <c r="CG50" s="507">
        <v>734</v>
      </c>
      <c r="CH50" s="508">
        <f t="shared" si="82"/>
        <v>0.7303370786516854</v>
      </c>
      <c r="CI50" s="509">
        <f t="shared" si="83"/>
        <v>0.81950895819508962</v>
      </c>
      <c r="CJ50" s="506">
        <v>2490</v>
      </c>
      <c r="CK50" s="507">
        <v>1905</v>
      </c>
      <c r="CL50" s="507">
        <v>1860</v>
      </c>
      <c r="CM50" s="507">
        <v>1245</v>
      </c>
      <c r="CN50" s="507">
        <v>742</v>
      </c>
      <c r="CO50" s="508">
        <f t="shared" si="96"/>
        <v>0.65354330708661412</v>
      </c>
      <c r="CP50" s="508">
        <f t="shared" si="97"/>
        <v>0.66935483870967738</v>
      </c>
      <c r="CQ50" s="508">
        <v>0.65354330708661412</v>
      </c>
      <c r="CR50" s="509">
        <v>0.66935483870967738</v>
      </c>
      <c r="CS50" s="506">
        <v>2479</v>
      </c>
      <c r="CT50" s="507">
        <v>1904</v>
      </c>
      <c r="CU50" s="507">
        <v>1797</v>
      </c>
      <c r="CV50" s="507">
        <v>981</v>
      </c>
      <c r="CW50" s="507">
        <v>756</v>
      </c>
      <c r="CX50" s="508">
        <f t="shared" si="86"/>
        <v>0.51523109243697474</v>
      </c>
      <c r="CY50" s="508">
        <f t="shared" si="87"/>
        <v>0.54590984974958268</v>
      </c>
      <c r="CZ50" s="508">
        <v>0.62237394957983194</v>
      </c>
      <c r="DA50" s="509">
        <v>0.65943238731218701</v>
      </c>
      <c r="DB50" s="506">
        <v>2217</v>
      </c>
      <c r="DC50" s="507">
        <v>1655</v>
      </c>
      <c r="DD50" s="507">
        <v>1545</v>
      </c>
      <c r="DE50" s="507">
        <v>943</v>
      </c>
      <c r="DF50" s="507">
        <v>725</v>
      </c>
      <c r="DG50" s="508">
        <f t="shared" si="88"/>
        <v>0.56978851963746224</v>
      </c>
      <c r="DH50" s="508">
        <f t="shared" si="89"/>
        <v>0.61035598705501615</v>
      </c>
      <c r="DI50" s="508">
        <v>0.74380664652567974</v>
      </c>
      <c r="DJ50" s="509">
        <v>0.79676375404530742</v>
      </c>
      <c r="DK50" s="506">
        <v>2646</v>
      </c>
      <c r="DL50" s="507">
        <v>1944</v>
      </c>
      <c r="DM50" s="507">
        <v>1655</v>
      </c>
      <c r="DN50" s="507">
        <v>1030</v>
      </c>
      <c r="DO50" s="507">
        <v>751</v>
      </c>
      <c r="DP50" s="508">
        <f t="shared" si="90"/>
        <v>0.52983539094650201</v>
      </c>
      <c r="DQ50" s="508">
        <f t="shared" si="91"/>
        <v>0.62235649546827798</v>
      </c>
      <c r="DR50" s="508">
        <v>0.62294238683127567</v>
      </c>
      <c r="DS50" s="509">
        <v>0.73172205438066462</v>
      </c>
      <c r="DT50" s="506">
        <v>2627</v>
      </c>
      <c r="DU50" s="507">
        <v>2006</v>
      </c>
      <c r="DV50" s="507">
        <v>1683</v>
      </c>
      <c r="DW50" s="507">
        <v>1105</v>
      </c>
      <c r="DX50" s="507">
        <v>795</v>
      </c>
      <c r="DY50" s="508">
        <f t="shared" si="92"/>
        <v>0.55084745762711862</v>
      </c>
      <c r="DZ50" s="508">
        <f t="shared" si="93"/>
        <v>0.65656565656565657</v>
      </c>
      <c r="EA50" s="508">
        <v>0.59970089730807574</v>
      </c>
      <c r="EB50" s="509">
        <v>0.71479500891265602</v>
      </c>
    </row>
    <row r="51" spans="1:132" s="2" customFormat="1" x14ac:dyDescent="0.25">
      <c r="A51" s="503" t="s">
        <v>216</v>
      </c>
      <c r="B51" s="504" t="s">
        <v>228</v>
      </c>
      <c r="C51" s="505" t="s">
        <v>229</v>
      </c>
      <c r="D51" s="506">
        <v>1583</v>
      </c>
      <c r="E51" s="507">
        <v>1405</v>
      </c>
      <c r="F51" s="507">
        <v>1294</v>
      </c>
      <c r="G51" s="507">
        <v>897</v>
      </c>
      <c r="H51" s="507">
        <v>528</v>
      </c>
      <c r="I51" s="508">
        <f t="shared" si="28"/>
        <v>0.63843416370106765</v>
      </c>
      <c r="J51" s="509">
        <f t="shared" si="29"/>
        <v>0.69319938176197837</v>
      </c>
      <c r="K51" s="506">
        <v>1466</v>
      </c>
      <c r="L51" s="507">
        <v>1294</v>
      </c>
      <c r="M51" s="507">
        <v>1174</v>
      </c>
      <c r="N51" s="507">
        <v>815</v>
      </c>
      <c r="O51" s="507">
        <v>486</v>
      </c>
      <c r="P51" s="508">
        <f t="shared" si="64"/>
        <v>0.62982998454404948</v>
      </c>
      <c r="Q51" s="509">
        <f t="shared" si="65"/>
        <v>0.69420783645655881</v>
      </c>
      <c r="R51" s="506">
        <v>1517</v>
      </c>
      <c r="S51" s="507">
        <v>1299</v>
      </c>
      <c r="T51" s="507">
        <v>1167</v>
      </c>
      <c r="U51" s="507">
        <v>700</v>
      </c>
      <c r="V51" s="507">
        <v>391</v>
      </c>
      <c r="W51" s="508">
        <f t="shared" si="32"/>
        <v>0.53887605850654352</v>
      </c>
      <c r="X51" s="509">
        <f t="shared" si="33"/>
        <v>0.59982862039417306</v>
      </c>
      <c r="Y51" s="506">
        <v>1348</v>
      </c>
      <c r="Z51" s="507">
        <v>1159</v>
      </c>
      <c r="AA51" s="507">
        <v>1068</v>
      </c>
      <c r="AB51" s="507">
        <v>671</v>
      </c>
      <c r="AC51" s="507">
        <v>419</v>
      </c>
      <c r="AD51" s="508">
        <f t="shared" si="66"/>
        <v>0.57894736842105265</v>
      </c>
      <c r="AE51" s="509">
        <f t="shared" si="67"/>
        <v>0.62827715355805247</v>
      </c>
      <c r="AF51" s="506">
        <v>1273</v>
      </c>
      <c r="AG51" s="507">
        <v>1055</v>
      </c>
      <c r="AH51" s="507">
        <v>978</v>
      </c>
      <c r="AI51" s="507">
        <v>523</v>
      </c>
      <c r="AJ51" s="507">
        <v>315</v>
      </c>
      <c r="AK51" s="508">
        <f t="shared" si="68"/>
        <v>0.49573459715639812</v>
      </c>
      <c r="AL51" s="509">
        <f t="shared" si="69"/>
        <v>0.53476482617586907</v>
      </c>
      <c r="AM51" s="506">
        <v>1191</v>
      </c>
      <c r="AN51" s="507">
        <v>999</v>
      </c>
      <c r="AO51" s="507">
        <v>917</v>
      </c>
      <c r="AP51" s="507">
        <v>411</v>
      </c>
      <c r="AQ51" s="507">
        <v>271</v>
      </c>
      <c r="AR51" s="508">
        <f t="shared" si="70"/>
        <v>0.41141141141141141</v>
      </c>
      <c r="AS51" s="509">
        <f t="shared" si="71"/>
        <v>0.44820065430752454</v>
      </c>
      <c r="AT51" s="506">
        <v>931</v>
      </c>
      <c r="AU51" s="507">
        <v>772</v>
      </c>
      <c r="AV51" s="507">
        <v>698</v>
      </c>
      <c r="AW51" s="507">
        <v>382</v>
      </c>
      <c r="AX51" s="507">
        <v>248</v>
      </c>
      <c r="AY51" s="508">
        <f t="shared" si="72"/>
        <v>0.49481865284974091</v>
      </c>
      <c r="AZ51" s="509">
        <f t="shared" si="73"/>
        <v>0.54727793696275073</v>
      </c>
      <c r="BA51" s="506">
        <v>970</v>
      </c>
      <c r="BB51" s="507">
        <v>807</v>
      </c>
      <c r="BC51" s="507">
        <v>732</v>
      </c>
      <c r="BD51" s="507">
        <v>446</v>
      </c>
      <c r="BE51" s="507">
        <v>295</v>
      </c>
      <c r="BF51" s="508">
        <f t="shared" si="74"/>
        <v>0.55266418835192066</v>
      </c>
      <c r="BG51" s="509">
        <f t="shared" si="75"/>
        <v>0.60928961748633881</v>
      </c>
      <c r="BH51" s="506">
        <v>1250</v>
      </c>
      <c r="BI51" s="507">
        <v>1020</v>
      </c>
      <c r="BJ51" s="507">
        <v>929</v>
      </c>
      <c r="BK51" s="507">
        <v>473</v>
      </c>
      <c r="BL51" s="507">
        <v>297</v>
      </c>
      <c r="BM51" s="508">
        <f t="shared" si="76"/>
        <v>0.46372549019607845</v>
      </c>
      <c r="BN51" s="509">
        <f t="shared" si="77"/>
        <v>0.50914962325080737</v>
      </c>
      <c r="BO51" s="506">
        <v>1366</v>
      </c>
      <c r="BP51" s="507">
        <v>1148</v>
      </c>
      <c r="BQ51" s="507">
        <v>1073</v>
      </c>
      <c r="BR51" s="507">
        <v>575</v>
      </c>
      <c r="BS51" s="507">
        <v>372</v>
      </c>
      <c r="BT51" s="508">
        <f t="shared" si="78"/>
        <v>0.50087108013937287</v>
      </c>
      <c r="BU51" s="509">
        <f t="shared" si="79"/>
        <v>0.53588070829450141</v>
      </c>
      <c r="BV51" s="506">
        <v>857</v>
      </c>
      <c r="BW51" s="507">
        <v>796</v>
      </c>
      <c r="BX51" s="507">
        <v>736</v>
      </c>
      <c r="BY51" s="507">
        <v>495</v>
      </c>
      <c r="BZ51" s="507">
        <v>313</v>
      </c>
      <c r="CA51" s="508">
        <f t="shared" si="80"/>
        <v>0.62185929648241201</v>
      </c>
      <c r="CB51" s="509">
        <f t="shared" si="81"/>
        <v>0.67255434782608692</v>
      </c>
      <c r="CC51" s="506">
        <v>989</v>
      </c>
      <c r="CD51" s="507">
        <v>907</v>
      </c>
      <c r="CE51" s="507">
        <v>756</v>
      </c>
      <c r="CF51" s="507">
        <v>504</v>
      </c>
      <c r="CG51" s="507">
        <v>315</v>
      </c>
      <c r="CH51" s="508">
        <f t="shared" si="82"/>
        <v>0.55567805953693494</v>
      </c>
      <c r="CI51" s="509">
        <f t="shared" si="83"/>
        <v>0.66666666666666663</v>
      </c>
      <c r="CJ51" s="506">
        <v>1135</v>
      </c>
      <c r="CK51" s="507">
        <v>968</v>
      </c>
      <c r="CL51" s="507">
        <v>905</v>
      </c>
      <c r="CM51" s="507">
        <v>563</v>
      </c>
      <c r="CN51" s="507">
        <v>375</v>
      </c>
      <c r="CO51" s="508">
        <f t="shared" si="96"/>
        <v>0.58161157024793386</v>
      </c>
      <c r="CP51" s="508">
        <f t="shared" si="97"/>
        <v>0.62209944751381219</v>
      </c>
      <c r="CQ51" s="508">
        <v>0.58161157024793386</v>
      </c>
      <c r="CR51" s="509">
        <v>0.62209944751381219</v>
      </c>
      <c r="CS51" s="506">
        <v>1136</v>
      </c>
      <c r="CT51" s="507">
        <v>983</v>
      </c>
      <c r="CU51" s="507">
        <v>885</v>
      </c>
      <c r="CV51" s="507">
        <v>358</v>
      </c>
      <c r="CW51" s="507">
        <v>304</v>
      </c>
      <c r="CX51" s="508">
        <f t="shared" si="86"/>
        <v>0.3641912512716175</v>
      </c>
      <c r="CY51" s="508">
        <f t="shared" si="87"/>
        <v>0.40451977401129946</v>
      </c>
      <c r="CZ51" s="508">
        <v>0.45778229908443541</v>
      </c>
      <c r="DA51" s="509">
        <v>0.50847457627118642</v>
      </c>
      <c r="DB51" s="506">
        <v>1125</v>
      </c>
      <c r="DC51" s="507">
        <v>956</v>
      </c>
      <c r="DD51" s="507">
        <v>887</v>
      </c>
      <c r="DE51" s="507">
        <v>368</v>
      </c>
      <c r="DF51" s="507">
        <v>318</v>
      </c>
      <c r="DG51" s="508">
        <f t="shared" si="88"/>
        <v>0.38493723849372385</v>
      </c>
      <c r="DH51" s="508">
        <f t="shared" si="89"/>
        <v>0.41488162344983087</v>
      </c>
      <c r="DI51" s="508">
        <v>0.50836820083682011</v>
      </c>
      <c r="DJ51" s="509">
        <v>0.54791431792559186</v>
      </c>
      <c r="DK51" s="506">
        <v>1151</v>
      </c>
      <c r="DL51" s="507">
        <v>961</v>
      </c>
      <c r="DM51" s="507">
        <v>862</v>
      </c>
      <c r="DN51" s="507">
        <v>423</v>
      </c>
      <c r="DO51" s="507">
        <v>344</v>
      </c>
      <c r="DP51" s="508">
        <f t="shared" si="90"/>
        <v>0.44016649323621226</v>
      </c>
      <c r="DQ51" s="508">
        <f t="shared" si="91"/>
        <v>0.49071925754060325</v>
      </c>
      <c r="DR51" s="508">
        <v>0.51508844953173782</v>
      </c>
      <c r="DS51" s="509">
        <v>0.57424593967517401</v>
      </c>
      <c r="DT51" s="506">
        <v>1153</v>
      </c>
      <c r="DU51" s="507">
        <v>963</v>
      </c>
      <c r="DV51" s="507">
        <v>859</v>
      </c>
      <c r="DW51" s="507">
        <v>414</v>
      </c>
      <c r="DX51" s="507">
        <v>309</v>
      </c>
      <c r="DY51" s="508">
        <f t="shared" si="92"/>
        <v>0.42990654205607476</v>
      </c>
      <c r="DZ51" s="508">
        <f t="shared" si="93"/>
        <v>0.4819557625145518</v>
      </c>
      <c r="EA51" s="508">
        <v>0.48598130841121495</v>
      </c>
      <c r="EB51" s="509">
        <v>0.54481955762514556</v>
      </c>
    </row>
    <row r="52" spans="1:132" s="2" customFormat="1" x14ac:dyDescent="0.25">
      <c r="A52" s="503" t="s">
        <v>216</v>
      </c>
      <c r="B52" s="504" t="s">
        <v>230</v>
      </c>
      <c r="C52" s="505" t="s">
        <v>231</v>
      </c>
      <c r="D52" s="506">
        <v>6613</v>
      </c>
      <c r="E52" s="507">
        <v>5126</v>
      </c>
      <c r="F52" s="507">
        <v>4725</v>
      </c>
      <c r="G52" s="507">
        <v>2411</v>
      </c>
      <c r="H52" s="507">
        <v>1848</v>
      </c>
      <c r="I52" s="508">
        <f t="shared" si="28"/>
        <v>0.4703472493172064</v>
      </c>
      <c r="J52" s="509">
        <f t="shared" si="29"/>
        <v>0.51026455026455031</v>
      </c>
      <c r="K52" s="506">
        <v>7243</v>
      </c>
      <c r="L52" s="507">
        <v>5379</v>
      </c>
      <c r="M52" s="507">
        <v>5009</v>
      </c>
      <c r="N52" s="507">
        <v>2521</v>
      </c>
      <c r="O52" s="507">
        <v>1938</v>
      </c>
      <c r="P52" s="508">
        <f t="shared" si="64"/>
        <v>0.46867447480944413</v>
      </c>
      <c r="Q52" s="509">
        <f t="shared" si="65"/>
        <v>0.50329407067278897</v>
      </c>
      <c r="R52" s="506">
        <v>8650</v>
      </c>
      <c r="S52" s="507">
        <v>6328</v>
      </c>
      <c r="T52" s="507">
        <v>5878</v>
      </c>
      <c r="U52" s="507">
        <v>2627</v>
      </c>
      <c r="V52" s="507">
        <v>1831</v>
      </c>
      <c r="W52" s="508">
        <f t="shared" si="32"/>
        <v>0.41513906447534765</v>
      </c>
      <c r="X52" s="509">
        <f t="shared" si="33"/>
        <v>0.44692072133378702</v>
      </c>
      <c r="Y52" s="506">
        <v>7908</v>
      </c>
      <c r="Z52" s="507">
        <v>5848</v>
      </c>
      <c r="AA52" s="507">
        <v>5464</v>
      </c>
      <c r="AB52" s="507">
        <v>2159</v>
      </c>
      <c r="AC52" s="507">
        <v>1499</v>
      </c>
      <c r="AD52" s="508">
        <f t="shared" si="66"/>
        <v>0.3691860465116279</v>
      </c>
      <c r="AE52" s="509">
        <f t="shared" si="67"/>
        <v>0.39513177159590046</v>
      </c>
      <c r="AF52" s="506">
        <v>7619</v>
      </c>
      <c r="AG52" s="507">
        <v>5550</v>
      </c>
      <c r="AH52" s="507">
        <v>5154</v>
      </c>
      <c r="AI52" s="507">
        <v>2695</v>
      </c>
      <c r="AJ52" s="507">
        <v>1902</v>
      </c>
      <c r="AK52" s="508">
        <f t="shared" si="68"/>
        <v>0.48558558558558557</v>
      </c>
      <c r="AL52" s="509">
        <f t="shared" si="69"/>
        <v>0.52289483896003108</v>
      </c>
      <c r="AM52" s="506">
        <v>7473</v>
      </c>
      <c r="AN52" s="507">
        <v>5233</v>
      </c>
      <c r="AO52" s="507">
        <v>4851</v>
      </c>
      <c r="AP52" s="507">
        <v>1861</v>
      </c>
      <c r="AQ52" s="507">
        <v>1250</v>
      </c>
      <c r="AR52" s="508">
        <f t="shared" si="70"/>
        <v>0.35562774699025418</v>
      </c>
      <c r="AS52" s="509">
        <f t="shared" si="71"/>
        <v>0.38363224077509794</v>
      </c>
      <c r="AT52" s="506">
        <v>5997</v>
      </c>
      <c r="AU52" s="507">
        <v>4263</v>
      </c>
      <c r="AV52" s="507">
        <v>3867</v>
      </c>
      <c r="AW52" s="507">
        <v>1739</v>
      </c>
      <c r="AX52" s="507">
        <v>1198</v>
      </c>
      <c r="AY52" s="508">
        <f t="shared" si="72"/>
        <v>0.40792868871686605</v>
      </c>
      <c r="AZ52" s="509">
        <f t="shared" si="73"/>
        <v>0.44970261184380655</v>
      </c>
      <c r="BA52" s="506">
        <v>5216</v>
      </c>
      <c r="BB52" s="507">
        <v>3734</v>
      </c>
      <c r="BC52" s="507">
        <v>3440</v>
      </c>
      <c r="BD52" s="507">
        <v>1753</v>
      </c>
      <c r="BE52" s="507">
        <v>1241</v>
      </c>
      <c r="BF52" s="508">
        <f t="shared" si="74"/>
        <v>0.46946973754686661</v>
      </c>
      <c r="BG52" s="509">
        <f t="shared" si="75"/>
        <v>0.5095930232558139</v>
      </c>
      <c r="BH52" s="506">
        <v>5744</v>
      </c>
      <c r="BI52" s="507">
        <v>4008</v>
      </c>
      <c r="BJ52" s="507">
        <v>3609</v>
      </c>
      <c r="BK52" s="507">
        <v>1822</v>
      </c>
      <c r="BL52" s="507">
        <v>1197</v>
      </c>
      <c r="BM52" s="508">
        <f t="shared" si="76"/>
        <v>0.45459081836327347</v>
      </c>
      <c r="BN52" s="509">
        <f t="shared" si="77"/>
        <v>0.50484898863951233</v>
      </c>
      <c r="BO52" s="506">
        <v>5886</v>
      </c>
      <c r="BP52" s="507">
        <v>4226</v>
      </c>
      <c r="BQ52" s="507">
        <v>3872</v>
      </c>
      <c r="BR52" s="507">
        <v>2001</v>
      </c>
      <c r="BS52" s="507">
        <v>1337</v>
      </c>
      <c r="BT52" s="508">
        <f t="shared" si="78"/>
        <v>0.47349739706578325</v>
      </c>
      <c r="BU52" s="509">
        <f t="shared" si="79"/>
        <v>0.51678719008264462</v>
      </c>
      <c r="BV52" s="506">
        <v>5837</v>
      </c>
      <c r="BW52" s="507">
        <v>4457</v>
      </c>
      <c r="BX52" s="507">
        <v>4105</v>
      </c>
      <c r="BY52" s="507">
        <v>2025</v>
      </c>
      <c r="BZ52" s="507">
        <v>1276</v>
      </c>
      <c r="CA52" s="508">
        <f t="shared" si="80"/>
        <v>0.45434148530401613</v>
      </c>
      <c r="CB52" s="509">
        <f t="shared" si="81"/>
        <v>0.49330085261875761</v>
      </c>
      <c r="CC52" s="506">
        <v>6224</v>
      </c>
      <c r="CD52" s="507">
        <v>4680</v>
      </c>
      <c r="CE52" s="507">
        <v>3825</v>
      </c>
      <c r="CF52" s="507">
        <v>1988</v>
      </c>
      <c r="CG52" s="507">
        <v>1335</v>
      </c>
      <c r="CH52" s="508">
        <f t="shared" si="82"/>
        <v>0.42478632478632478</v>
      </c>
      <c r="CI52" s="509">
        <f t="shared" si="83"/>
        <v>0.51973856209150326</v>
      </c>
      <c r="CJ52" s="506">
        <v>7363</v>
      </c>
      <c r="CK52" s="507">
        <v>5519</v>
      </c>
      <c r="CL52" s="507">
        <v>5116</v>
      </c>
      <c r="CM52" s="507">
        <v>1944</v>
      </c>
      <c r="CN52" s="507">
        <v>1257</v>
      </c>
      <c r="CO52" s="508">
        <f t="shared" si="96"/>
        <v>0.35223772422540317</v>
      </c>
      <c r="CP52" s="508">
        <f t="shared" si="97"/>
        <v>0.37998436278342457</v>
      </c>
      <c r="CQ52" s="508">
        <v>0.35241891647037504</v>
      </c>
      <c r="CR52" s="509">
        <v>0.38017982799061767</v>
      </c>
      <c r="CS52" s="506">
        <v>6874</v>
      </c>
      <c r="CT52" s="507">
        <v>5057</v>
      </c>
      <c r="CU52" s="507">
        <v>4554</v>
      </c>
      <c r="CV52" s="507">
        <v>1716</v>
      </c>
      <c r="CW52" s="507">
        <v>1371</v>
      </c>
      <c r="CX52" s="508">
        <f t="shared" si="86"/>
        <v>0.33933161953727509</v>
      </c>
      <c r="CY52" s="508">
        <f t="shared" si="87"/>
        <v>0.37681159420289856</v>
      </c>
      <c r="CZ52" s="508">
        <v>0.38876804429503659</v>
      </c>
      <c r="DA52" s="509">
        <v>0.43170838823012736</v>
      </c>
      <c r="DB52" s="506">
        <v>6341</v>
      </c>
      <c r="DC52" s="507">
        <v>4682</v>
      </c>
      <c r="DD52" s="507">
        <v>4192</v>
      </c>
      <c r="DE52" s="507">
        <v>1460</v>
      </c>
      <c r="DF52" s="507">
        <v>1144</v>
      </c>
      <c r="DG52" s="508">
        <f t="shared" si="88"/>
        <v>0.31183255019222555</v>
      </c>
      <c r="DH52" s="508">
        <f t="shared" si="89"/>
        <v>0.34828244274809161</v>
      </c>
      <c r="DI52" s="508">
        <v>0.40410081161896627</v>
      </c>
      <c r="DJ52" s="509">
        <v>0.45133587786259544</v>
      </c>
      <c r="DK52" s="506">
        <v>6347</v>
      </c>
      <c r="DL52" s="507">
        <v>4581</v>
      </c>
      <c r="DM52" s="507">
        <v>4176</v>
      </c>
      <c r="DN52" s="507">
        <v>1452</v>
      </c>
      <c r="DO52" s="507">
        <v>1187</v>
      </c>
      <c r="DP52" s="508">
        <f t="shared" si="90"/>
        <v>0.31696136214800263</v>
      </c>
      <c r="DQ52" s="508">
        <f t="shared" si="91"/>
        <v>0.34770114942528735</v>
      </c>
      <c r="DR52" s="508">
        <v>0.40864440078585462</v>
      </c>
      <c r="DS52" s="509">
        <v>0.44827586206896552</v>
      </c>
      <c r="DT52" s="506">
        <v>6174</v>
      </c>
      <c r="DU52" s="507">
        <v>4431</v>
      </c>
      <c r="DV52" s="507">
        <v>3996</v>
      </c>
      <c r="DW52" s="507">
        <v>1575</v>
      </c>
      <c r="DX52" s="507">
        <v>1269</v>
      </c>
      <c r="DY52" s="508">
        <f t="shared" si="92"/>
        <v>0.35545023696682465</v>
      </c>
      <c r="DZ52" s="508">
        <f t="shared" si="93"/>
        <v>0.39414414414414417</v>
      </c>
      <c r="EA52" s="508">
        <v>0.4048747461069736</v>
      </c>
      <c r="EB52" s="509">
        <v>0.44894894894894893</v>
      </c>
    </row>
    <row r="53" spans="1:132" s="2" customFormat="1" x14ac:dyDescent="0.25">
      <c r="A53" s="557" t="s">
        <v>216</v>
      </c>
      <c r="B53" s="526" t="s">
        <v>232</v>
      </c>
      <c r="C53" s="527" t="s">
        <v>233</v>
      </c>
      <c r="D53" s="506">
        <v>2052</v>
      </c>
      <c r="E53" s="507">
        <v>1278</v>
      </c>
      <c r="F53" s="507">
        <v>1062</v>
      </c>
      <c r="G53" s="507">
        <v>495</v>
      </c>
      <c r="H53" s="507">
        <v>419</v>
      </c>
      <c r="I53" s="508">
        <f t="shared" si="28"/>
        <v>0.38732394366197181</v>
      </c>
      <c r="J53" s="509">
        <f t="shared" si="29"/>
        <v>0.46610169491525422</v>
      </c>
      <c r="K53" s="506">
        <v>2344</v>
      </c>
      <c r="L53" s="507">
        <v>1774</v>
      </c>
      <c r="M53" s="507">
        <v>1386</v>
      </c>
      <c r="N53" s="507">
        <v>447</v>
      </c>
      <c r="O53" s="507">
        <v>375</v>
      </c>
      <c r="P53" s="508">
        <f t="shared" si="64"/>
        <v>0.25197294250281849</v>
      </c>
      <c r="Q53" s="509">
        <f t="shared" si="65"/>
        <v>0.32251082251082253</v>
      </c>
      <c r="R53" s="506">
        <v>2675</v>
      </c>
      <c r="S53" s="507">
        <v>2040</v>
      </c>
      <c r="T53" s="507">
        <v>1559</v>
      </c>
      <c r="U53" s="507">
        <v>436</v>
      </c>
      <c r="V53" s="507">
        <v>378</v>
      </c>
      <c r="W53" s="508">
        <f t="shared" si="32"/>
        <v>0.21372549019607842</v>
      </c>
      <c r="X53" s="509">
        <f t="shared" si="33"/>
        <v>0.27966645285439384</v>
      </c>
      <c r="Y53" s="506">
        <v>2511</v>
      </c>
      <c r="Z53" s="507">
        <v>1857</v>
      </c>
      <c r="AA53" s="507">
        <v>1177</v>
      </c>
      <c r="AB53" s="507">
        <v>394</v>
      </c>
      <c r="AC53" s="507">
        <v>346</v>
      </c>
      <c r="AD53" s="508">
        <f t="shared" si="66"/>
        <v>0.21217016693591814</v>
      </c>
      <c r="AE53" s="509">
        <f t="shared" si="67"/>
        <v>0.33474936278674594</v>
      </c>
      <c r="AF53" s="506">
        <v>2577</v>
      </c>
      <c r="AG53" s="507">
        <v>1929</v>
      </c>
      <c r="AH53" s="507">
        <v>1309</v>
      </c>
      <c r="AI53" s="507">
        <v>408</v>
      </c>
      <c r="AJ53" s="507">
        <v>325</v>
      </c>
      <c r="AK53" s="508">
        <f t="shared" si="68"/>
        <v>0.21150855365474339</v>
      </c>
      <c r="AL53" s="509">
        <f t="shared" si="69"/>
        <v>0.31168831168831168</v>
      </c>
      <c r="AM53" s="506">
        <v>2400</v>
      </c>
      <c r="AN53" s="507">
        <v>1771</v>
      </c>
      <c r="AO53" s="507">
        <v>890</v>
      </c>
      <c r="AP53" s="507">
        <v>359</v>
      </c>
      <c r="AQ53" s="507">
        <v>310</v>
      </c>
      <c r="AR53" s="508">
        <f t="shared" si="70"/>
        <v>0.20271033314511575</v>
      </c>
      <c r="AS53" s="509">
        <f t="shared" si="71"/>
        <v>0.40337078651685393</v>
      </c>
      <c r="AT53" s="506">
        <v>2290</v>
      </c>
      <c r="AU53" s="507">
        <v>1689</v>
      </c>
      <c r="AV53" s="507">
        <v>820</v>
      </c>
      <c r="AW53" s="507">
        <v>306</v>
      </c>
      <c r="AX53" s="507">
        <v>286</v>
      </c>
      <c r="AY53" s="508">
        <f t="shared" si="72"/>
        <v>0.18117229129662521</v>
      </c>
      <c r="AZ53" s="509">
        <f t="shared" si="73"/>
        <v>0.37317073170731707</v>
      </c>
      <c r="BA53" s="506">
        <v>2084</v>
      </c>
      <c r="BB53" s="507">
        <v>1538</v>
      </c>
      <c r="BC53" s="507">
        <v>823</v>
      </c>
      <c r="BD53" s="507">
        <v>358</v>
      </c>
      <c r="BE53" s="507">
        <v>302</v>
      </c>
      <c r="BF53" s="508">
        <f t="shared" si="74"/>
        <v>0.23276983094928477</v>
      </c>
      <c r="BG53" s="509">
        <f t="shared" si="75"/>
        <v>0.43499392466585662</v>
      </c>
      <c r="BH53" s="506">
        <v>1965</v>
      </c>
      <c r="BI53" s="507">
        <v>1486</v>
      </c>
      <c r="BJ53" s="507">
        <v>778</v>
      </c>
      <c r="BK53" s="507">
        <v>391</v>
      </c>
      <c r="BL53" s="507">
        <v>327</v>
      </c>
      <c r="BM53" s="508">
        <f t="shared" si="76"/>
        <v>0.26312247644683717</v>
      </c>
      <c r="BN53" s="509">
        <f t="shared" si="77"/>
        <v>0.50257069408740362</v>
      </c>
      <c r="BO53" s="506">
        <v>1776</v>
      </c>
      <c r="BP53" s="507">
        <v>1349</v>
      </c>
      <c r="BQ53" s="507">
        <v>1045</v>
      </c>
      <c r="BR53" s="507">
        <v>402</v>
      </c>
      <c r="BS53" s="507">
        <v>341</v>
      </c>
      <c r="BT53" s="508">
        <f t="shared" si="78"/>
        <v>0.29799851742031136</v>
      </c>
      <c r="BU53" s="509">
        <f t="shared" si="79"/>
        <v>0.38468899521531102</v>
      </c>
      <c r="BV53" s="506">
        <v>1517</v>
      </c>
      <c r="BW53" s="507">
        <v>1315</v>
      </c>
      <c r="BX53" s="507">
        <v>934</v>
      </c>
      <c r="BY53" s="507">
        <v>411</v>
      </c>
      <c r="BZ53" s="507">
        <v>293</v>
      </c>
      <c r="CA53" s="508">
        <f t="shared" si="80"/>
        <v>0.31254752851711026</v>
      </c>
      <c r="CB53" s="509">
        <f t="shared" si="81"/>
        <v>0.44004282655246252</v>
      </c>
      <c r="CC53" s="506">
        <v>1522</v>
      </c>
      <c r="CD53" s="507">
        <v>1309</v>
      </c>
      <c r="CE53" s="507">
        <v>1094</v>
      </c>
      <c r="CF53" s="507">
        <v>383</v>
      </c>
      <c r="CG53" s="507">
        <v>373</v>
      </c>
      <c r="CH53" s="508">
        <f t="shared" si="82"/>
        <v>0.29258976317799845</v>
      </c>
      <c r="CI53" s="509">
        <f t="shared" si="83"/>
        <v>0.35009140767824498</v>
      </c>
      <c r="CJ53" s="506">
        <v>1636</v>
      </c>
      <c r="CK53" s="507">
        <v>1376</v>
      </c>
      <c r="CL53" s="507">
        <v>1136</v>
      </c>
      <c r="CM53" s="507">
        <v>494</v>
      </c>
      <c r="CN53" s="507">
        <v>406</v>
      </c>
      <c r="CO53" s="508">
        <f t="shared" si="96"/>
        <v>0.35901162790697677</v>
      </c>
      <c r="CP53" s="508">
        <f t="shared" si="97"/>
        <v>0.43485915492957744</v>
      </c>
      <c r="CQ53" s="508">
        <v>0.36191860465116277</v>
      </c>
      <c r="CR53" s="509">
        <v>0.43838028169014087</v>
      </c>
      <c r="CS53" s="506">
        <v>1671</v>
      </c>
      <c r="CT53" s="507">
        <v>1389</v>
      </c>
      <c r="CU53" s="507">
        <v>910</v>
      </c>
      <c r="CV53" s="507">
        <v>483</v>
      </c>
      <c r="CW53" s="507">
        <v>448</v>
      </c>
      <c r="CX53" s="508">
        <f t="shared" si="86"/>
        <v>0.34773218142548595</v>
      </c>
      <c r="CY53" s="508">
        <f t="shared" si="87"/>
        <v>0.53076923076923077</v>
      </c>
      <c r="CZ53" s="508">
        <v>0.37149028077753782</v>
      </c>
      <c r="DA53" s="509">
        <v>0.56703296703296702</v>
      </c>
      <c r="DB53" s="506">
        <v>1719</v>
      </c>
      <c r="DC53" s="507">
        <v>1420</v>
      </c>
      <c r="DD53" s="507">
        <v>1256</v>
      </c>
      <c r="DE53" s="507">
        <v>414</v>
      </c>
      <c r="DF53" s="507">
        <v>384</v>
      </c>
      <c r="DG53" s="508">
        <f t="shared" si="88"/>
        <v>0.29154929577464789</v>
      </c>
      <c r="DH53" s="508">
        <f t="shared" si="89"/>
        <v>0.32961783439490444</v>
      </c>
      <c r="DI53" s="508">
        <v>0.50633802816901408</v>
      </c>
      <c r="DJ53" s="509">
        <v>0.57245222929936301</v>
      </c>
      <c r="DK53" s="506">
        <v>1813</v>
      </c>
      <c r="DL53" s="507">
        <v>1515</v>
      </c>
      <c r="DM53" s="507">
        <v>1278</v>
      </c>
      <c r="DN53" s="507">
        <v>482</v>
      </c>
      <c r="DO53" s="507">
        <v>447</v>
      </c>
      <c r="DP53" s="508">
        <f t="shared" si="90"/>
        <v>0.31815181518151814</v>
      </c>
      <c r="DQ53" s="508">
        <f t="shared" si="91"/>
        <v>0.37715179968701096</v>
      </c>
      <c r="DR53" s="508">
        <v>0.46204620462046203</v>
      </c>
      <c r="DS53" s="509">
        <v>0.54773082942097029</v>
      </c>
      <c r="DT53" s="506">
        <v>2415</v>
      </c>
      <c r="DU53" s="507">
        <v>1781</v>
      </c>
      <c r="DV53" s="507">
        <v>1511</v>
      </c>
      <c r="DW53" s="507">
        <v>503</v>
      </c>
      <c r="DX53" s="507">
        <v>445</v>
      </c>
      <c r="DY53" s="508">
        <f t="shared" si="92"/>
        <v>0.28242560359348678</v>
      </c>
      <c r="DZ53" s="508">
        <f t="shared" si="93"/>
        <v>0.33289212442091332</v>
      </c>
      <c r="EA53" s="508">
        <v>0.37843907916900615</v>
      </c>
      <c r="EB53" s="509">
        <v>0.44606221045665123</v>
      </c>
    </row>
    <row r="54" spans="1:132" s="2" customFormat="1" x14ac:dyDescent="0.25">
      <c r="A54" s="511" t="s">
        <v>216</v>
      </c>
      <c r="B54" s="512" t="s">
        <v>234</v>
      </c>
      <c r="C54" s="513" t="s">
        <v>235</v>
      </c>
      <c r="D54" s="514">
        <v>6824</v>
      </c>
      <c r="E54" s="515">
        <v>5137</v>
      </c>
      <c r="F54" s="515">
        <v>4672</v>
      </c>
      <c r="G54" s="515">
        <v>2025</v>
      </c>
      <c r="H54" s="515">
        <v>1411</v>
      </c>
      <c r="I54" s="516">
        <f t="shared" si="28"/>
        <v>0.39419894880280321</v>
      </c>
      <c r="J54" s="517">
        <f t="shared" si="29"/>
        <v>0.4334332191780822</v>
      </c>
      <c r="K54" s="514">
        <v>6247</v>
      </c>
      <c r="L54" s="515">
        <v>4636</v>
      </c>
      <c r="M54" s="515">
        <v>4209</v>
      </c>
      <c r="N54" s="515">
        <v>1674</v>
      </c>
      <c r="O54" s="515">
        <v>1158</v>
      </c>
      <c r="P54" s="516">
        <f t="shared" si="64"/>
        <v>0.36108714408973253</v>
      </c>
      <c r="Q54" s="517">
        <f t="shared" si="65"/>
        <v>0.3977191732002851</v>
      </c>
      <c r="R54" s="514">
        <v>6796</v>
      </c>
      <c r="S54" s="515">
        <v>5005</v>
      </c>
      <c r="T54" s="515">
        <v>4577</v>
      </c>
      <c r="U54" s="515">
        <v>1605</v>
      </c>
      <c r="V54" s="515">
        <v>1031</v>
      </c>
      <c r="W54" s="516">
        <f t="shared" si="32"/>
        <v>0.3206793206793207</v>
      </c>
      <c r="X54" s="517">
        <f t="shared" si="33"/>
        <v>0.35066637535503603</v>
      </c>
      <c r="Y54" s="514">
        <v>5949</v>
      </c>
      <c r="Z54" s="515">
        <v>4397</v>
      </c>
      <c r="AA54" s="515">
        <v>4056</v>
      </c>
      <c r="AB54" s="515">
        <v>1464</v>
      </c>
      <c r="AC54" s="515">
        <v>912</v>
      </c>
      <c r="AD54" s="516">
        <f t="shared" si="66"/>
        <v>0.33295428701387308</v>
      </c>
      <c r="AE54" s="517">
        <f t="shared" si="67"/>
        <v>0.36094674556213019</v>
      </c>
      <c r="AF54" s="514">
        <v>5172</v>
      </c>
      <c r="AG54" s="515">
        <v>3860</v>
      </c>
      <c r="AH54" s="515">
        <v>3529</v>
      </c>
      <c r="AI54" s="515">
        <v>1096</v>
      </c>
      <c r="AJ54" s="515">
        <v>689</v>
      </c>
      <c r="AK54" s="516">
        <f t="shared" si="68"/>
        <v>0.28393782383419691</v>
      </c>
      <c r="AL54" s="517">
        <f t="shared" si="69"/>
        <v>0.31056956644941908</v>
      </c>
      <c r="AM54" s="514">
        <v>3985</v>
      </c>
      <c r="AN54" s="515">
        <v>2980</v>
      </c>
      <c r="AO54" s="515">
        <v>2671</v>
      </c>
      <c r="AP54" s="515">
        <v>984</v>
      </c>
      <c r="AQ54" s="515">
        <v>612</v>
      </c>
      <c r="AR54" s="516">
        <f t="shared" si="70"/>
        <v>0.3302013422818792</v>
      </c>
      <c r="AS54" s="517">
        <f t="shared" si="71"/>
        <v>0.36840134780980904</v>
      </c>
      <c r="AT54" s="514">
        <v>3209</v>
      </c>
      <c r="AU54" s="515">
        <v>2367</v>
      </c>
      <c r="AV54" s="515">
        <v>2072</v>
      </c>
      <c r="AW54" s="515">
        <v>913</v>
      </c>
      <c r="AX54" s="515">
        <v>573</v>
      </c>
      <c r="AY54" s="516">
        <f t="shared" si="72"/>
        <v>0.38572032108153781</v>
      </c>
      <c r="AZ54" s="517">
        <f t="shared" si="73"/>
        <v>0.44063706563706562</v>
      </c>
      <c r="BA54" s="514">
        <v>3004</v>
      </c>
      <c r="BB54" s="515">
        <v>2223</v>
      </c>
      <c r="BC54" s="515">
        <v>2019</v>
      </c>
      <c r="BD54" s="515">
        <v>865</v>
      </c>
      <c r="BE54" s="515">
        <v>526</v>
      </c>
      <c r="BF54" s="516">
        <f t="shared" si="74"/>
        <v>0.38911381016644175</v>
      </c>
      <c r="BG54" s="517">
        <f t="shared" si="75"/>
        <v>0.42842991579990092</v>
      </c>
      <c r="BH54" s="514">
        <v>2887</v>
      </c>
      <c r="BI54" s="515">
        <v>2162</v>
      </c>
      <c r="BJ54" s="515">
        <v>1900</v>
      </c>
      <c r="BK54" s="515">
        <v>828</v>
      </c>
      <c r="BL54" s="515">
        <v>464</v>
      </c>
      <c r="BM54" s="516">
        <f t="shared" si="76"/>
        <v>0.38297872340425532</v>
      </c>
      <c r="BN54" s="517">
        <f t="shared" si="77"/>
        <v>0.4357894736842105</v>
      </c>
      <c r="BO54" s="514">
        <v>3048</v>
      </c>
      <c r="BP54" s="515">
        <v>2235</v>
      </c>
      <c r="BQ54" s="515">
        <v>2048</v>
      </c>
      <c r="BR54" s="515">
        <v>835</v>
      </c>
      <c r="BS54" s="515">
        <v>459</v>
      </c>
      <c r="BT54" s="516">
        <f t="shared" si="78"/>
        <v>0.37360178970917224</v>
      </c>
      <c r="BU54" s="517">
        <f t="shared" si="79"/>
        <v>0.40771484375</v>
      </c>
      <c r="BV54" s="514">
        <v>2839</v>
      </c>
      <c r="BW54" s="515">
        <v>2176</v>
      </c>
      <c r="BX54" s="515">
        <v>1986</v>
      </c>
      <c r="BY54" s="515">
        <v>837</v>
      </c>
      <c r="BZ54" s="515">
        <v>463</v>
      </c>
      <c r="CA54" s="516">
        <f t="shared" si="80"/>
        <v>0.38465073529411764</v>
      </c>
      <c r="CB54" s="517">
        <f t="shared" si="81"/>
        <v>0.4214501510574018</v>
      </c>
      <c r="CC54" s="514">
        <v>2852</v>
      </c>
      <c r="CD54" s="515">
        <v>2107</v>
      </c>
      <c r="CE54" s="515">
        <v>1610</v>
      </c>
      <c r="CF54" s="515">
        <v>809</v>
      </c>
      <c r="CG54" s="515">
        <v>444</v>
      </c>
      <c r="CH54" s="516">
        <f t="shared" si="82"/>
        <v>0.38395823445657334</v>
      </c>
      <c r="CI54" s="517">
        <f t="shared" si="83"/>
        <v>0.50248447204968949</v>
      </c>
      <c r="CJ54" s="514">
        <v>2941</v>
      </c>
      <c r="CK54" s="515">
        <v>2211</v>
      </c>
      <c r="CL54" s="515">
        <v>2039</v>
      </c>
      <c r="CM54" s="515">
        <v>879</v>
      </c>
      <c r="CN54" s="515">
        <v>540</v>
      </c>
      <c r="CO54" s="516">
        <f t="shared" si="96"/>
        <v>0.39755766621438265</v>
      </c>
      <c r="CP54" s="516">
        <f t="shared" si="97"/>
        <v>0.43109367336929866</v>
      </c>
      <c r="CQ54" s="516">
        <v>0.40976933514246949</v>
      </c>
      <c r="CR54" s="517">
        <v>0.44433545855811674</v>
      </c>
      <c r="CS54" s="514">
        <v>2702</v>
      </c>
      <c r="CT54" s="515">
        <v>1978</v>
      </c>
      <c r="CU54" s="515">
        <v>1818</v>
      </c>
      <c r="CV54" s="515">
        <v>667</v>
      </c>
      <c r="CW54" s="515">
        <v>512</v>
      </c>
      <c r="CX54" s="516">
        <f t="shared" si="86"/>
        <v>0.33720930232558138</v>
      </c>
      <c r="CY54" s="516">
        <f t="shared" si="87"/>
        <v>0.36688668866886687</v>
      </c>
      <c r="CZ54" s="516">
        <v>0.42163801820020225</v>
      </c>
      <c r="DA54" s="517">
        <v>0.45874587458745875</v>
      </c>
      <c r="DB54" s="514">
        <v>3355</v>
      </c>
      <c r="DC54" s="515">
        <v>1922</v>
      </c>
      <c r="DD54" s="515">
        <v>1771</v>
      </c>
      <c r="DE54" s="515">
        <v>653</v>
      </c>
      <c r="DF54" s="515">
        <v>512</v>
      </c>
      <c r="DG54" s="516">
        <f t="shared" si="88"/>
        <v>0.3397502601456816</v>
      </c>
      <c r="DH54" s="516">
        <f t="shared" si="89"/>
        <v>0.36871823828345568</v>
      </c>
      <c r="DI54" s="516">
        <v>0.48491155046826223</v>
      </c>
      <c r="DJ54" s="517">
        <v>0.52625635234330892</v>
      </c>
      <c r="DK54" s="514">
        <v>2404</v>
      </c>
      <c r="DL54" s="515">
        <v>2091</v>
      </c>
      <c r="DM54" s="515">
        <v>1947</v>
      </c>
      <c r="DN54" s="515">
        <v>701</v>
      </c>
      <c r="DO54" s="515">
        <v>598</v>
      </c>
      <c r="DP54" s="516">
        <f t="shared" si="90"/>
        <v>0.335246293639407</v>
      </c>
      <c r="DQ54" s="516">
        <f t="shared" si="91"/>
        <v>0.36004108885464819</v>
      </c>
      <c r="DR54" s="516">
        <v>0.4567192730750837</v>
      </c>
      <c r="DS54" s="517">
        <v>0.49049820236260916</v>
      </c>
      <c r="DT54" s="514">
        <v>2648</v>
      </c>
      <c r="DU54" s="515">
        <v>2321</v>
      </c>
      <c r="DV54" s="515">
        <v>2121</v>
      </c>
      <c r="DW54" s="515">
        <v>775</v>
      </c>
      <c r="DX54" s="515">
        <v>604</v>
      </c>
      <c r="DY54" s="516">
        <f t="shared" si="92"/>
        <v>0.33390779836277468</v>
      </c>
      <c r="DZ54" s="516">
        <f t="shared" si="93"/>
        <v>0.36539368222536539</v>
      </c>
      <c r="EA54" s="516">
        <v>0.39724256785868162</v>
      </c>
      <c r="EB54" s="517">
        <v>0.4347006129184347</v>
      </c>
    </row>
    <row r="55" spans="1:132" s="2" customFormat="1" x14ac:dyDescent="0.25">
      <c r="A55" s="551" t="s">
        <v>236</v>
      </c>
      <c r="B55" s="489" t="s">
        <v>237</v>
      </c>
      <c r="C55" s="553"/>
      <c r="D55" s="558">
        <v>25097</v>
      </c>
      <c r="E55" s="559">
        <v>17167</v>
      </c>
      <c r="F55" s="559">
        <v>14955</v>
      </c>
      <c r="G55" s="559">
        <v>7168</v>
      </c>
      <c r="H55" s="560">
        <v>5308</v>
      </c>
      <c r="I55" s="561">
        <f t="shared" si="28"/>
        <v>0.41754529038271104</v>
      </c>
      <c r="J55" s="562">
        <f t="shared" si="29"/>
        <v>0.47930458040789031</v>
      </c>
      <c r="K55" s="558">
        <v>26537</v>
      </c>
      <c r="L55" s="559">
        <v>17299</v>
      </c>
      <c r="M55" s="559">
        <v>15128</v>
      </c>
      <c r="N55" s="559">
        <v>7319</v>
      </c>
      <c r="O55" s="560">
        <v>5369</v>
      </c>
      <c r="P55" s="561">
        <f t="shared" si="64"/>
        <v>0.42308803977108506</v>
      </c>
      <c r="Q55" s="562">
        <f t="shared" si="65"/>
        <v>0.48380486515071391</v>
      </c>
      <c r="R55" s="558">
        <v>27847</v>
      </c>
      <c r="S55" s="559">
        <v>17923</v>
      </c>
      <c r="T55" s="559">
        <v>15708</v>
      </c>
      <c r="U55" s="559">
        <v>6572</v>
      </c>
      <c r="V55" s="560">
        <v>5509</v>
      </c>
      <c r="W55" s="561">
        <f t="shared" si="32"/>
        <v>0.36667968532053785</v>
      </c>
      <c r="X55" s="562">
        <f t="shared" si="33"/>
        <v>0.41838553603259487</v>
      </c>
      <c r="Y55" s="558">
        <v>24997</v>
      </c>
      <c r="Z55" s="559">
        <v>16478</v>
      </c>
      <c r="AA55" s="559">
        <v>14489</v>
      </c>
      <c r="AB55" s="559">
        <v>6305</v>
      </c>
      <c r="AC55" s="560">
        <v>5073</v>
      </c>
      <c r="AD55" s="561">
        <f t="shared" si="66"/>
        <v>0.38263138730428448</v>
      </c>
      <c r="AE55" s="562">
        <f t="shared" si="67"/>
        <v>0.43515770584581409</v>
      </c>
      <c r="AF55" s="558">
        <v>23006</v>
      </c>
      <c r="AG55" s="559">
        <v>15153</v>
      </c>
      <c r="AH55" s="559">
        <v>13196</v>
      </c>
      <c r="AI55" s="559">
        <v>6083</v>
      </c>
      <c r="AJ55" s="560">
        <v>4948</v>
      </c>
      <c r="AK55" s="561">
        <f t="shared" si="68"/>
        <v>0.4014386590114169</v>
      </c>
      <c r="AL55" s="562">
        <f t="shared" si="69"/>
        <v>0.46097302212791758</v>
      </c>
      <c r="AM55" s="558">
        <v>22510</v>
      </c>
      <c r="AN55" s="559">
        <v>14597</v>
      </c>
      <c r="AO55" s="559">
        <v>12700</v>
      </c>
      <c r="AP55" s="559">
        <v>6233</v>
      </c>
      <c r="AQ55" s="560">
        <v>4960</v>
      </c>
      <c r="AR55" s="561">
        <f t="shared" si="70"/>
        <v>0.42700554908542854</v>
      </c>
      <c r="AS55" s="562">
        <f t="shared" si="71"/>
        <v>0.49078740157480316</v>
      </c>
      <c r="AT55" s="558">
        <v>22062</v>
      </c>
      <c r="AU55" s="559">
        <v>14254</v>
      </c>
      <c r="AV55" s="559">
        <v>12483</v>
      </c>
      <c r="AW55" s="559">
        <v>6304</v>
      </c>
      <c r="AX55" s="560">
        <v>4956</v>
      </c>
      <c r="AY55" s="561">
        <f t="shared" si="72"/>
        <v>0.44226182124315983</v>
      </c>
      <c r="AZ55" s="562">
        <f t="shared" si="73"/>
        <v>0.50500680926059438</v>
      </c>
      <c r="BA55" s="558">
        <v>20108</v>
      </c>
      <c r="BB55" s="559">
        <v>12883</v>
      </c>
      <c r="BC55" s="559">
        <v>11188</v>
      </c>
      <c r="BD55" s="559">
        <v>5581</v>
      </c>
      <c r="BE55" s="560">
        <v>4527</v>
      </c>
      <c r="BF55" s="561">
        <f t="shared" si="74"/>
        <v>0.43320655126911434</v>
      </c>
      <c r="BG55" s="562">
        <f t="shared" si="75"/>
        <v>0.49883804075795496</v>
      </c>
      <c r="BH55" s="558">
        <v>18610</v>
      </c>
      <c r="BI55" s="559">
        <v>12242</v>
      </c>
      <c r="BJ55" s="559">
        <v>10651</v>
      </c>
      <c r="BK55" s="559">
        <v>5627</v>
      </c>
      <c r="BL55" s="560">
        <v>4600</v>
      </c>
      <c r="BM55" s="561">
        <f t="shared" si="76"/>
        <v>0.45964711648423462</v>
      </c>
      <c r="BN55" s="562">
        <f t="shared" si="77"/>
        <v>0.52830720120176511</v>
      </c>
      <c r="BO55" s="558">
        <v>18364</v>
      </c>
      <c r="BP55" s="559">
        <v>12147</v>
      </c>
      <c r="BQ55" s="559">
        <v>10396</v>
      </c>
      <c r="BR55" s="559">
        <v>5694</v>
      </c>
      <c r="BS55" s="560">
        <v>4707</v>
      </c>
      <c r="BT55" s="561">
        <f t="shared" si="78"/>
        <v>0.46875771795505061</v>
      </c>
      <c r="BU55" s="562">
        <f t="shared" si="79"/>
        <v>0.54771065794536355</v>
      </c>
      <c r="BV55" s="558">
        <v>19168</v>
      </c>
      <c r="BW55" s="559">
        <v>12740</v>
      </c>
      <c r="BX55" s="559">
        <v>11014</v>
      </c>
      <c r="BY55" s="559">
        <v>6099</v>
      </c>
      <c r="BZ55" s="560">
        <v>5007</v>
      </c>
      <c r="CA55" s="561">
        <f t="shared" si="80"/>
        <v>0.47872841444270015</v>
      </c>
      <c r="CB55" s="562">
        <f t="shared" si="81"/>
        <v>0.55374977301616124</v>
      </c>
      <c r="CC55" s="558">
        <v>20503</v>
      </c>
      <c r="CD55" s="559">
        <v>13536</v>
      </c>
      <c r="CE55" s="559">
        <v>12683</v>
      </c>
      <c r="CF55" s="559">
        <v>6722</v>
      </c>
      <c r="CG55" s="560">
        <v>5586</v>
      </c>
      <c r="CH55" s="561">
        <f t="shared" si="82"/>
        <v>0.49660165484633567</v>
      </c>
      <c r="CI55" s="562">
        <f t="shared" si="83"/>
        <v>0.53000078845698972</v>
      </c>
      <c r="CJ55" s="558">
        <v>23033</v>
      </c>
      <c r="CK55" s="559">
        <v>15115</v>
      </c>
      <c r="CL55" s="559">
        <v>12947</v>
      </c>
      <c r="CM55" s="559">
        <v>5484</v>
      </c>
      <c r="CN55" s="560">
        <v>5258</v>
      </c>
      <c r="CO55" s="561">
        <f t="shared" si="96"/>
        <v>0.36281839232550445</v>
      </c>
      <c r="CP55" s="664">
        <f t="shared" si="97"/>
        <v>0.42357302850081102</v>
      </c>
      <c r="CQ55" s="561">
        <v>0.42626529937148527</v>
      </c>
      <c r="CR55" s="562">
        <v>0.4976442419093226</v>
      </c>
      <c r="CS55" s="558">
        <v>22018</v>
      </c>
      <c r="CT55" s="559">
        <v>14338</v>
      </c>
      <c r="CU55" s="559">
        <v>11765</v>
      </c>
      <c r="CV55" s="559">
        <v>5347</v>
      </c>
      <c r="CW55" s="560">
        <v>4879</v>
      </c>
      <c r="CX55" s="561">
        <f t="shared" si="86"/>
        <v>0.37292509415539127</v>
      </c>
      <c r="CY55" s="664">
        <f t="shared" si="87"/>
        <v>0.45448363790905227</v>
      </c>
      <c r="CZ55" s="561">
        <v>0.42621007113962894</v>
      </c>
      <c r="DA55" s="562">
        <v>0.51942201444963876</v>
      </c>
      <c r="DB55" s="558">
        <v>25220</v>
      </c>
      <c r="DC55" s="559">
        <v>15569</v>
      </c>
      <c r="DD55" s="559">
        <v>12926</v>
      </c>
      <c r="DE55" s="559">
        <v>5602</v>
      </c>
      <c r="DF55" s="560">
        <v>5131</v>
      </c>
      <c r="DG55" s="561">
        <f t="shared" si="88"/>
        <v>0.35981758622904492</v>
      </c>
      <c r="DH55" s="664">
        <f t="shared" si="89"/>
        <v>0.43339006653257001</v>
      </c>
      <c r="DI55" s="561">
        <v>0.42141434902691244</v>
      </c>
      <c r="DJ55" s="562">
        <v>0.50758161844344729</v>
      </c>
      <c r="DK55" s="558">
        <v>24332</v>
      </c>
      <c r="DL55" s="559">
        <v>15332</v>
      </c>
      <c r="DM55" s="559">
        <v>12893</v>
      </c>
      <c r="DN55" s="559">
        <v>5544</v>
      </c>
      <c r="DO55" s="560">
        <v>4978</v>
      </c>
      <c r="DP55" s="561">
        <f t="shared" si="90"/>
        <v>0.36159666057918077</v>
      </c>
      <c r="DQ55" s="664">
        <f t="shared" si="91"/>
        <v>0.43000077561467465</v>
      </c>
      <c r="DR55" s="561">
        <v>0.42427602400208714</v>
      </c>
      <c r="DS55" s="562">
        <v>0.50453734584658338</v>
      </c>
      <c r="DT55" s="558">
        <v>23975</v>
      </c>
      <c r="DU55" s="559">
        <v>15050</v>
      </c>
      <c r="DV55" s="559">
        <v>12725</v>
      </c>
      <c r="DW55" s="559">
        <v>5702</v>
      </c>
      <c r="DX55" s="560">
        <v>5090</v>
      </c>
      <c r="DY55" s="561">
        <f t="shared" si="92"/>
        <v>0.37887043189368769</v>
      </c>
      <c r="DZ55" s="664">
        <f t="shared" si="93"/>
        <v>0.44809430255402749</v>
      </c>
      <c r="EA55" s="561">
        <v>0.44877076411960132</v>
      </c>
      <c r="EB55" s="562">
        <v>0.53076620825147347</v>
      </c>
    </row>
    <row r="56" spans="1:132" s="2" customFormat="1" x14ac:dyDescent="0.25">
      <c r="A56" s="554" t="s">
        <v>236</v>
      </c>
      <c r="B56" s="497" t="s">
        <v>238</v>
      </c>
      <c r="C56" s="556" t="s">
        <v>239</v>
      </c>
      <c r="D56" s="536">
        <v>1916</v>
      </c>
      <c r="E56" s="500">
        <v>1502</v>
      </c>
      <c r="F56" s="500">
        <v>1195</v>
      </c>
      <c r="G56" s="500">
        <v>402</v>
      </c>
      <c r="H56" s="500">
        <v>242</v>
      </c>
      <c r="I56" s="501">
        <f t="shared" si="28"/>
        <v>0.26764314247669774</v>
      </c>
      <c r="J56" s="502">
        <f t="shared" si="29"/>
        <v>0.33640167364016738</v>
      </c>
      <c r="K56" s="536">
        <v>2307</v>
      </c>
      <c r="L56" s="500">
        <v>1773</v>
      </c>
      <c r="M56" s="500">
        <v>1459</v>
      </c>
      <c r="N56" s="500">
        <v>446</v>
      </c>
      <c r="O56" s="500">
        <v>249</v>
      </c>
      <c r="P56" s="501">
        <f t="shared" si="64"/>
        <v>0.25155104342921603</v>
      </c>
      <c r="Q56" s="502">
        <f t="shared" si="65"/>
        <v>0.30568882796435914</v>
      </c>
      <c r="R56" s="536">
        <v>2262</v>
      </c>
      <c r="S56" s="500">
        <v>1759</v>
      </c>
      <c r="T56" s="500">
        <v>1477</v>
      </c>
      <c r="U56" s="500">
        <v>280</v>
      </c>
      <c r="V56" s="500">
        <v>247</v>
      </c>
      <c r="W56" s="501">
        <f t="shared" si="32"/>
        <v>0.15918135304150086</v>
      </c>
      <c r="X56" s="502">
        <f t="shared" si="33"/>
        <v>0.1895734597156398</v>
      </c>
      <c r="Y56" s="536">
        <v>2140</v>
      </c>
      <c r="Z56" s="500">
        <v>1755</v>
      </c>
      <c r="AA56" s="500">
        <v>1503</v>
      </c>
      <c r="AB56" s="500">
        <v>286</v>
      </c>
      <c r="AC56" s="500">
        <v>205</v>
      </c>
      <c r="AD56" s="501">
        <f t="shared" si="66"/>
        <v>0.16296296296296298</v>
      </c>
      <c r="AE56" s="502">
        <f t="shared" si="67"/>
        <v>0.19028609447771125</v>
      </c>
      <c r="AF56" s="536">
        <v>1996</v>
      </c>
      <c r="AG56" s="500">
        <v>1627</v>
      </c>
      <c r="AH56" s="500">
        <v>1343</v>
      </c>
      <c r="AI56" s="500">
        <v>258</v>
      </c>
      <c r="AJ56" s="500">
        <v>197</v>
      </c>
      <c r="AK56" s="501">
        <f t="shared" si="68"/>
        <v>0.1585740626920713</v>
      </c>
      <c r="AL56" s="502">
        <f t="shared" si="69"/>
        <v>0.19210722263588981</v>
      </c>
      <c r="AM56" s="536">
        <v>2189</v>
      </c>
      <c r="AN56" s="500">
        <v>1755</v>
      </c>
      <c r="AO56" s="500">
        <v>1534</v>
      </c>
      <c r="AP56" s="500">
        <v>248</v>
      </c>
      <c r="AQ56" s="500">
        <v>186</v>
      </c>
      <c r="AR56" s="501">
        <f t="shared" si="70"/>
        <v>0.1413105413105413</v>
      </c>
      <c r="AS56" s="502">
        <f t="shared" si="71"/>
        <v>0.16166883963494133</v>
      </c>
      <c r="AT56" s="536">
        <v>2143</v>
      </c>
      <c r="AU56" s="500">
        <v>1699</v>
      </c>
      <c r="AV56" s="500">
        <v>1485</v>
      </c>
      <c r="AW56" s="500">
        <v>258</v>
      </c>
      <c r="AX56" s="500">
        <v>201</v>
      </c>
      <c r="AY56" s="501">
        <f t="shared" si="72"/>
        <v>0.15185403178340201</v>
      </c>
      <c r="AZ56" s="502">
        <f t="shared" si="73"/>
        <v>0.17373737373737375</v>
      </c>
      <c r="BA56" s="536">
        <v>1968</v>
      </c>
      <c r="BB56" s="500">
        <v>1560</v>
      </c>
      <c r="BC56" s="500">
        <v>1359</v>
      </c>
      <c r="BD56" s="500">
        <v>250</v>
      </c>
      <c r="BE56" s="500">
        <v>184</v>
      </c>
      <c r="BF56" s="501">
        <f t="shared" si="74"/>
        <v>0.16025641025641027</v>
      </c>
      <c r="BG56" s="502">
        <f t="shared" si="75"/>
        <v>0.18395879323031641</v>
      </c>
      <c r="BH56" s="536">
        <v>2025</v>
      </c>
      <c r="BI56" s="500">
        <v>1583</v>
      </c>
      <c r="BJ56" s="500">
        <v>1415</v>
      </c>
      <c r="BK56" s="500">
        <v>266</v>
      </c>
      <c r="BL56" s="500">
        <v>195</v>
      </c>
      <c r="BM56" s="501">
        <f t="shared" si="76"/>
        <v>0.16803537586860393</v>
      </c>
      <c r="BN56" s="502">
        <f t="shared" si="77"/>
        <v>0.18798586572438161</v>
      </c>
      <c r="BO56" s="536">
        <v>1991</v>
      </c>
      <c r="BP56" s="500">
        <v>1592</v>
      </c>
      <c r="BQ56" s="500">
        <v>1300</v>
      </c>
      <c r="BR56" s="500">
        <v>234</v>
      </c>
      <c r="BS56" s="500">
        <v>181</v>
      </c>
      <c r="BT56" s="501">
        <f t="shared" si="78"/>
        <v>0.14698492462311558</v>
      </c>
      <c r="BU56" s="502">
        <f t="shared" si="79"/>
        <v>0.18</v>
      </c>
      <c r="BV56" s="536">
        <v>2048</v>
      </c>
      <c r="BW56" s="500">
        <v>1632</v>
      </c>
      <c r="BX56" s="500">
        <v>1311</v>
      </c>
      <c r="BY56" s="500">
        <v>307</v>
      </c>
      <c r="BZ56" s="500">
        <v>222</v>
      </c>
      <c r="CA56" s="501">
        <f t="shared" si="80"/>
        <v>0.18811274509803921</v>
      </c>
      <c r="CB56" s="502">
        <f t="shared" si="81"/>
        <v>0.23417238749046529</v>
      </c>
      <c r="CC56" s="536">
        <v>2483</v>
      </c>
      <c r="CD56" s="500">
        <v>1968</v>
      </c>
      <c r="CE56" s="500">
        <v>1590</v>
      </c>
      <c r="CF56" s="500">
        <v>304</v>
      </c>
      <c r="CG56" s="500">
        <v>219</v>
      </c>
      <c r="CH56" s="501">
        <f t="shared" si="82"/>
        <v>0.15447154471544716</v>
      </c>
      <c r="CI56" s="502">
        <f t="shared" si="83"/>
        <v>0.19119496855345913</v>
      </c>
      <c r="CJ56" s="536">
        <v>2504</v>
      </c>
      <c r="CK56" s="500">
        <v>1971</v>
      </c>
      <c r="CL56" s="500">
        <v>1606</v>
      </c>
      <c r="CM56" s="500">
        <v>316</v>
      </c>
      <c r="CN56" s="500">
        <v>223</v>
      </c>
      <c r="CO56" s="501">
        <f t="shared" si="96"/>
        <v>0.16032470826991374</v>
      </c>
      <c r="CP56" s="501">
        <f t="shared" si="97"/>
        <v>0.19676214196762143</v>
      </c>
      <c r="CQ56" s="501">
        <v>0.16032470826991374</v>
      </c>
      <c r="CR56" s="502">
        <v>0.19676214196762143</v>
      </c>
      <c r="CS56" s="536">
        <v>2277</v>
      </c>
      <c r="CT56" s="500">
        <v>1798</v>
      </c>
      <c r="CU56" s="500">
        <v>1477</v>
      </c>
      <c r="CV56" s="500">
        <v>348</v>
      </c>
      <c r="CW56" s="500">
        <v>232</v>
      </c>
      <c r="CX56" s="501">
        <f t="shared" si="86"/>
        <v>0.19354838709677419</v>
      </c>
      <c r="CY56" s="501">
        <f t="shared" si="87"/>
        <v>0.23561272850372375</v>
      </c>
      <c r="CZ56" s="501">
        <v>0.19410456062291434</v>
      </c>
      <c r="DA56" s="502">
        <v>0.23628977657413677</v>
      </c>
      <c r="DB56" s="536">
        <v>2499</v>
      </c>
      <c r="DC56" s="500">
        <v>1962</v>
      </c>
      <c r="DD56" s="500">
        <v>1672</v>
      </c>
      <c r="DE56" s="500">
        <v>321</v>
      </c>
      <c r="DF56" s="500">
        <v>215</v>
      </c>
      <c r="DG56" s="501">
        <f t="shared" si="88"/>
        <v>0.1636085626911315</v>
      </c>
      <c r="DH56" s="501">
        <f t="shared" si="89"/>
        <v>0.19198564593301434</v>
      </c>
      <c r="DI56" s="501">
        <v>0.16411824668705402</v>
      </c>
      <c r="DJ56" s="502">
        <v>0.19258373205741627</v>
      </c>
      <c r="DK56" s="536">
        <v>2745</v>
      </c>
      <c r="DL56" s="500">
        <v>2125</v>
      </c>
      <c r="DM56" s="500">
        <v>1802</v>
      </c>
      <c r="DN56" s="500">
        <v>365</v>
      </c>
      <c r="DO56" s="500">
        <v>232</v>
      </c>
      <c r="DP56" s="501">
        <f t="shared" si="90"/>
        <v>0.17176470588235293</v>
      </c>
      <c r="DQ56" s="501">
        <f t="shared" si="91"/>
        <v>0.20255271920088791</v>
      </c>
      <c r="DR56" s="501">
        <v>0.17270588235294118</v>
      </c>
      <c r="DS56" s="502">
        <v>0.20366259711431742</v>
      </c>
      <c r="DT56" s="536">
        <v>3071</v>
      </c>
      <c r="DU56" s="500">
        <v>2364</v>
      </c>
      <c r="DV56" s="500">
        <v>2015</v>
      </c>
      <c r="DW56" s="500">
        <v>394</v>
      </c>
      <c r="DX56" s="500">
        <v>227</v>
      </c>
      <c r="DY56" s="501">
        <f t="shared" si="92"/>
        <v>0.16666666666666666</v>
      </c>
      <c r="DZ56" s="501">
        <f t="shared" si="93"/>
        <v>0.1955334987593052</v>
      </c>
      <c r="EA56" s="501">
        <v>0.16708967851099832</v>
      </c>
      <c r="EB56" s="502">
        <v>0.19602977667493796</v>
      </c>
    </row>
    <row r="57" spans="1:132" s="2" customFormat="1" x14ac:dyDescent="0.25">
      <c r="A57" s="496" t="s">
        <v>236</v>
      </c>
      <c r="B57" s="497">
        <v>15120</v>
      </c>
      <c r="C57" s="498" t="s">
        <v>240</v>
      </c>
      <c r="D57" s="541">
        <v>1265</v>
      </c>
      <c r="E57" s="546">
        <v>1096</v>
      </c>
      <c r="F57" s="546">
        <v>922</v>
      </c>
      <c r="G57" s="546">
        <v>269</v>
      </c>
      <c r="H57" s="546">
        <v>212</v>
      </c>
      <c r="I57" s="547">
        <f t="shared" si="28"/>
        <v>0.24543795620437955</v>
      </c>
      <c r="J57" s="548">
        <f t="shared" si="29"/>
        <v>0.29175704989154011</v>
      </c>
      <c r="K57" s="541">
        <v>1251</v>
      </c>
      <c r="L57" s="546">
        <v>1074</v>
      </c>
      <c r="M57" s="546">
        <v>886</v>
      </c>
      <c r="N57" s="546">
        <v>247</v>
      </c>
      <c r="O57" s="546">
        <v>207</v>
      </c>
      <c r="P57" s="547">
        <f t="shared" si="64"/>
        <v>0.22998137802607077</v>
      </c>
      <c r="Q57" s="548">
        <f t="shared" si="65"/>
        <v>0.27878103837471785</v>
      </c>
      <c r="R57" s="541">
        <v>1450</v>
      </c>
      <c r="S57" s="546">
        <v>1164</v>
      </c>
      <c r="T57" s="546">
        <v>972</v>
      </c>
      <c r="U57" s="546">
        <v>249</v>
      </c>
      <c r="V57" s="546">
        <v>215</v>
      </c>
      <c r="W57" s="547">
        <f t="shared" si="32"/>
        <v>0.21391752577319587</v>
      </c>
      <c r="X57" s="548">
        <f t="shared" si="33"/>
        <v>0.25617283950617287</v>
      </c>
      <c r="Y57" s="541">
        <v>1162</v>
      </c>
      <c r="Z57" s="546">
        <v>1019</v>
      </c>
      <c r="AA57" s="546">
        <v>898</v>
      </c>
      <c r="AB57" s="546">
        <v>227</v>
      </c>
      <c r="AC57" s="546">
        <v>181</v>
      </c>
      <c r="AD57" s="547">
        <f t="shared" si="66"/>
        <v>0.22276741903827282</v>
      </c>
      <c r="AE57" s="548">
        <f t="shared" si="67"/>
        <v>0.25278396436525613</v>
      </c>
      <c r="AF57" s="541">
        <v>1177</v>
      </c>
      <c r="AG57" s="546">
        <v>1011</v>
      </c>
      <c r="AH57" s="546">
        <v>901</v>
      </c>
      <c r="AI57" s="546">
        <v>256</v>
      </c>
      <c r="AJ57" s="546">
        <v>197</v>
      </c>
      <c r="AK57" s="547">
        <f t="shared" si="68"/>
        <v>0.25321463897131552</v>
      </c>
      <c r="AL57" s="548">
        <f t="shared" si="69"/>
        <v>0.28412874583795783</v>
      </c>
      <c r="AM57" s="541">
        <v>1146</v>
      </c>
      <c r="AN57" s="546">
        <v>991</v>
      </c>
      <c r="AO57" s="546">
        <v>880</v>
      </c>
      <c r="AP57" s="546">
        <v>251</v>
      </c>
      <c r="AQ57" s="546">
        <v>189</v>
      </c>
      <c r="AR57" s="547">
        <f t="shared" si="70"/>
        <v>0.25327951564076689</v>
      </c>
      <c r="AS57" s="548">
        <f t="shared" si="71"/>
        <v>0.28522727272727272</v>
      </c>
      <c r="AT57" s="541">
        <v>1244</v>
      </c>
      <c r="AU57" s="546">
        <v>1071</v>
      </c>
      <c r="AV57" s="546">
        <v>938</v>
      </c>
      <c r="AW57" s="546">
        <v>260</v>
      </c>
      <c r="AX57" s="546">
        <v>194</v>
      </c>
      <c r="AY57" s="547">
        <f t="shared" si="72"/>
        <v>0.24276377217553688</v>
      </c>
      <c r="AZ57" s="548">
        <f t="shared" si="73"/>
        <v>0.27718550106609807</v>
      </c>
      <c r="BA57" s="541">
        <v>1182</v>
      </c>
      <c r="BB57" s="546">
        <v>1013</v>
      </c>
      <c r="BC57" s="546">
        <v>851</v>
      </c>
      <c r="BD57" s="546">
        <v>252</v>
      </c>
      <c r="BE57" s="546">
        <v>187</v>
      </c>
      <c r="BF57" s="547">
        <f t="shared" si="74"/>
        <v>0.24876604146100692</v>
      </c>
      <c r="BG57" s="548">
        <f t="shared" si="75"/>
        <v>0.29612220916568743</v>
      </c>
      <c r="BH57" s="541">
        <v>1234</v>
      </c>
      <c r="BI57" s="546">
        <v>1026</v>
      </c>
      <c r="BJ57" s="546">
        <v>842</v>
      </c>
      <c r="BK57" s="546">
        <v>295</v>
      </c>
      <c r="BL57" s="546">
        <v>202</v>
      </c>
      <c r="BM57" s="547">
        <f t="shared" si="76"/>
        <v>0.2875243664717349</v>
      </c>
      <c r="BN57" s="548">
        <f t="shared" si="77"/>
        <v>0.3503562945368171</v>
      </c>
      <c r="BO57" s="541">
        <v>1185</v>
      </c>
      <c r="BP57" s="546">
        <v>993</v>
      </c>
      <c r="BQ57" s="546">
        <v>834</v>
      </c>
      <c r="BR57" s="546">
        <v>292</v>
      </c>
      <c r="BS57" s="546">
        <v>212</v>
      </c>
      <c r="BT57" s="547">
        <f t="shared" si="78"/>
        <v>0.29405840886203422</v>
      </c>
      <c r="BU57" s="548">
        <f t="shared" si="79"/>
        <v>0.3501199040767386</v>
      </c>
      <c r="BV57" s="541">
        <v>1397</v>
      </c>
      <c r="BW57" s="546">
        <v>1081</v>
      </c>
      <c r="BX57" s="546">
        <v>879</v>
      </c>
      <c r="BY57" s="546">
        <v>330</v>
      </c>
      <c r="BZ57" s="546">
        <v>250</v>
      </c>
      <c r="CA57" s="547">
        <f t="shared" si="80"/>
        <v>0.30527289546716002</v>
      </c>
      <c r="CB57" s="548">
        <f t="shared" si="81"/>
        <v>0.37542662116040953</v>
      </c>
      <c r="CC57" s="541">
        <v>1623</v>
      </c>
      <c r="CD57" s="546">
        <v>1257</v>
      </c>
      <c r="CE57" s="546">
        <v>1151</v>
      </c>
      <c r="CF57" s="546">
        <v>274</v>
      </c>
      <c r="CG57" s="546">
        <v>265</v>
      </c>
      <c r="CH57" s="547">
        <f t="shared" si="82"/>
        <v>0.21797931583134447</v>
      </c>
      <c r="CI57" s="548">
        <f t="shared" si="83"/>
        <v>0.23805386620330149</v>
      </c>
      <c r="CJ57" s="541">
        <v>1974</v>
      </c>
      <c r="CK57" s="546">
        <v>1531</v>
      </c>
      <c r="CL57" s="546">
        <v>1275</v>
      </c>
      <c r="CM57" s="546">
        <v>373</v>
      </c>
      <c r="CN57" s="546">
        <v>286</v>
      </c>
      <c r="CO57" s="547">
        <f t="shared" si="96"/>
        <v>0.24363161332462444</v>
      </c>
      <c r="CP57" s="547">
        <f t="shared" si="97"/>
        <v>0.29254901960784313</v>
      </c>
      <c r="CQ57" s="547">
        <v>0.25016329196603526</v>
      </c>
      <c r="CR57" s="548">
        <v>0.30039215686274512</v>
      </c>
      <c r="CS57" s="541">
        <v>1990</v>
      </c>
      <c r="CT57" s="546">
        <v>1552</v>
      </c>
      <c r="CU57" s="546">
        <v>1307</v>
      </c>
      <c r="CV57" s="546">
        <v>373</v>
      </c>
      <c r="CW57" s="546">
        <v>292</v>
      </c>
      <c r="CX57" s="547">
        <f t="shared" si="86"/>
        <v>0.24033505154639176</v>
      </c>
      <c r="CY57" s="547">
        <f t="shared" si="87"/>
        <v>0.28538638102524866</v>
      </c>
      <c r="CZ57" s="547">
        <v>0.24871134020618557</v>
      </c>
      <c r="DA57" s="548">
        <v>0.2953328232593726</v>
      </c>
      <c r="DB57" s="541">
        <v>2155</v>
      </c>
      <c r="DC57" s="546">
        <v>1641</v>
      </c>
      <c r="DD57" s="546">
        <v>1359</v>
      </c>
      <c r="DE57" s="546">
        <v>356</v>
      </c>
      <c r="DF57" s="546">
        <v>284</v>
      </c>
      <c r="DG57" s="547">
        <f t="shared" si="88"/>
        <v>0.21694088970140157</v>
      </c>
      <c r="DH57" s="547">
        <f t="shared" si="89"/>
        <v>0.26195732155997059</v>
      </c>
      <c r="DI57" s="547">
        <v>0.21694088970140157</v>
      </c>
      <c r="DJ57" s="548">
        <v>0.26195732155997059</v>
      </c>
      <c r="DK57" s="541">
        <v>2206</v>
      </c>
      <c r="DL57" s="546">
        <v>1690</v>
      </c>
      <c r="DM57" s="546">
        <v>1413</v>
      </c>
      <c r="DN57" s="546">
        <v>360</v>
      </c>
      <c r="DO57" s="546">
        <v>284</v>
      </c>
      <c r="DP57" s="547">
        <f t="shared" si="90"/>
        <v>0.21301775147928995</v>
      </c>
      <c r="DQ57" s="547">
        <f t="shared" si="91"/>
        <v>0.25477707006369427</v>
      </c>
      <c r="DR57" s="547">
        <v>0.2153846153846154</v>
      </c>
      <c r="DS57" s="548">
        <v>0.25760792639773533</v>
      </c>
      <c r="DT57" s="541">
        <v>2330</v>
      </c>
      <c r="DU57" s="546">
        <v>1760</v>
      </c>
      <c r="DV57" s="546">
        <v>1406</v>
      </c>
      <c r="DW57" s="546">
        <v>427</v>
      </c>
      <c r="DX57" s="546">
        <v>329</v>
      </c>
      <c r="DY57" s="547">
        <f t="shared" si="92"/>
        <v>0.24261363636363636</v>
      </c>
      <c r="DZ57" s="547">
        <f t="shared" si="93"/>
        <v>0.30369843527738266</v>
      </c>
      <c r="EA57" s="547">
        <v>0.24431818181818182</v>
      </c>
      <c r="EB57" s="548">
        <v>0.30583214793741109</v>
      </c>
    </row>
    <row r="58" spans="1:132" s="2" customFormat="1" x14ac:dyDescent="0.25">
      <c r="A58" s="503" t="s">
        <v>236</v>
      </c>
      <c r="B58" s="504" t="s">
        <v>241</v>
      </c>
      <c r="C58" s="505" t="s">
        <v>162</v>
      </c>
      <c r="D58" s="541">
        <v>6663</v>
      </c>
      <c r="E58" s="507">
        <v>5200</v>
      </c>
      <c r="F58" s="507">
        <v>4415</v>
      </c>
      <c r="G58" s="507">
        <v>1763</v>
      </c>
      <c r="H58" s="507">
        <v>1137</v>
      </c>
      <c r="I58" s="508">
        <f t="shared" si="28"/>
        <v>0.33903846153846151</v>
      </c>
      <c r="J58" s="509">
        <f t="shared" si="29"/>
        <v>0.39932049830124577</v>
      </c>
      <c r="K58" s="541">
        <v>7555</v>
      </c>
      <c r="L58" s="507">
        <v>5523</v>
      </c>
      <c r="M58" s="507">
        <v>4773</v>
      </c>
      <c r="N58" s="507">
        <v>1955</v>
      </c>
      <c r="O58" s="507">
        <v>1219</v>
      </c>
      <c r="P58" s="508">
        <f t="shared" si="64"/>
        <v>0.35397428933550606</v>
      </c>
      <c r="Q58" s="509">
        <f t="shared" si="65"/>
        <v>0.40959564215378169</v>
      </c>
      <c r="R58" s="541">
        <v>6921</v>
      </c>
      <c r="S58" s="507">
        <v>5287</v>
      </c>
      <c r="T58" s="507">
        <v>4616</v>
      </c>
      <c r="U58" s="507">
        <v>1323</v>
      </c>
      <c r="V58" s="507">
        <v>1313</v>
      </c>
      <c r="W58" s="508">
        <f t="shared" si="32"/>
        <v>0.25023642897673537</v>
      </c>
      <c r="X58" s="509">
        <f t="shared" si="33"/>
        <v>0.28661178509532065</v>
      </c>
      <c r="Y58" s="541">
        <v>6111</v>
      </c>
      <c r="Z58" s="507">
        <v>4703</v>
      </c>
      <c r="AA58" s="507">
        <v>4119</v>
      </c>
      <c r="AB58" s="507">
        <v>1335</v>
      </c>
      <c r="AC58" s="507">
        <v>1329</v>
      </c>
      <c r="AD58" s="508">
        <f t="shared" si="66"/>
        <v>0.28386136508611526</v>
      </c>
      <c r="AE58" s="509">
        <f t="shared" si="67"/>
        <v>0.3241077931536781</v>
      </c>
      <c r="AF58" s="541">
        <v>5926</v>
      </c>
      <c r="AG58" s="507">
        <v>4469</v>
      </c>
      <c r="AH58" s="507">
        <v>3874</v>
      </c>
      <c r="AI58" s="507">
        <v>1258</v>
      </c>
      <c r="AJ58" s="507">
        <v>1253</v>
      </c>
      <c r="AK58" s="508">
        <f t="shared" si="68"/>
        <v>0.28149474155292009</v>
      </c>
      <c r="AL58" s="509">
        <f t="shared" si="69"/>
        <v>0.32472896231285492</v>
      </c>
      <c r="AM58" s="541">
        <v>5532</v>
      </c>
      <c r="AN58" s="507">
        <v>4158</v>
      </c>
      <c r="AO58" s="507">
        <v>3512</v>
      </c>
      <c r="AP58" s="507">
        <v>1235</v>
      </c>
      <c r="AQ58" s="507">
        <v>1214</v>
      </c>
      <c r="AR58" s="508">
        <f t="shared" si="70"/>
        <v>0.29701779701779701</v>
      </c>
      <c r="AS58" s="509">
        <f t="shared" si="71"/>
        <v>0.35165148063781321</v>
      </c>
      <c r="AT58" s="541">
        <v>5334</v>
      </c>
      <c r="AU58" s="507">
        <v>4076</v>
      </c>
      <c r="AV58" s="507">
        <v>3400</v>
      </c>
      <c r="AW58" s="507">
        <v>1151</v>
      </c>
      <c r="AX58" s="507">
        <v>1151</v>
      </c>
      <c r="AY58" s="508">
        <f t="shared" si="72"/>
        <v>0.28238469087340529</v>
      </c>
      <c r="AZ58" s="509">
        <f t="shared" si="73"/>
        <v>0.33852941176470586</v>
      </c>
      <c r="BA58" s="541">
        <v>5003</v>
      </c>
      <c r="BB58" s="507">
        <v>3784</v>
      </c>
      <c r="BC58" s="507">
        <v>3168</v>
      </c>
      <c r="BD58" s="507">
        <v>1119</v>
      </c>
      <c r="BE58" s="507">
        <v>1119</v>
      </c>
      <c r="BF58" s="508">
        <f t="shared" si="74"/>
        <v>0.29571881606765327</v>
      </c>
      <c r="BG58" s="509">
        <f t="shared" si="75"/>
        <v>0.35321969696969696</v>
      </c>
      <c r="BH58" s="541">
        <v>4674</v>
      </c>
      <c r="BI58" s="507">
        <v>3658</v>
      </c>
      <c r="BJ58" s="507">
        <v>3027</v>
      </c>
      <c r="BK58" s="507">
        <v>1166</v>
      </c>
      <c r="BL58" s="507">
        <v>1166</v>
      </c>
      <c r="BM58" s="508">
        <f t="shared" si="76"/>
        <v>0.31875341716785127</v>
      </c>
      <c r="BN58" s="509">
        <f t="shared" si="77"/>
        <v>0.385199867855963</v>
      </c>
      <c r="BO58" s="541">
        <v>4801</v>
      </c>
      <c r="BP58" s="507">
        <v>3753</v>
      </c>
      <c r="BQ58" s="507">
        <v>3041</v>
      </c>
      <c r="BR58" s="507">
        <v>1239</v>
      </c>
      <c r="BS58" s="507">
        <v>1239</v>
      </c>
      <c r="BT58" s="508">
        <f t="shared" si="78"/>
        <v>0.33013589128697041</v>
      </c>
      <c r="BU58" s="509">
        <f t="shared" si="79"/>
        <v>0.40743176586649127</v>
      </c>
      <c r="BV58" s="541">
        <v>5064</v>
      </c>
      <c r="BW58" s="507">
        <v>3982</v>
      </c>
      <c r="BX58" s="507">
        <v>3212</v>
      </c>
      <c r="BY58" s="507">
        <v>1222</v>
      </c>
      <c r="BZ58" s="507">
        <v>1222</v>
      </c>
      <c r="CA58" s="508">
        <f t="shared" si="80"/>
        <v>0.30688096433952788</v>
      </c>
      <c r="CB58" s="509">
        <f t="shared" si="81"/>
        <v>0.38044831880448321</v>
      </c>
      <c r="CC58" s="541">
        <v>4899</v>
      </c>
      <c r="CD58" s="507">
        <v>3854</v>
      </c>
      <c r="CE58" s="507">
        <v>3633</v>
      </c>
      <c r="CF58" s="507">
        <v>1313</v>
      </c>
      <c r="CG58" s="507">
        <v>1310</v>
      </c>
      <c r="CH58" s="508">
        <f t="shared" si="82"/>
        <v>0.3406850025947068</v>
      </c>
      <c r="CI58" s="509">
        <f t="shared" si="83"/>
        <v>0.3614093036058354</v>
      </c>
      <c r="CJ58" s="541">
        <v>5636</v>
      </c>
      <c r="CK58" s="507">
        <v>4475</v>
      </c>
      <c r="CL58" s="507">
        <v>3758</v>
      </c>
      <c r="CM58" s="507">
        <v>1292</v>
      </c>
      <c r="CN58" s="507">
        <v>1284</v>
      </c>
      <c r="CO58" s="508">
        <f t="shared" si="96"/>
        <v>0.28871508379888267</v>
      </c>
      <c r="CP58" s="508">
        <f t="shared" si="97"/>
        <v>0.34379989356040447</v>
      </c>
      <c r="CQ58" s="508">
        <v>0.35843575418994411</v>
      </c>
      <c r="CR58" s="509">
        <v>0.42682277807344332</v>
      </c>
      <c r="CS58" s="541">
        <v>5133</v>
      </c>
      <c r="CT58" s="507">
        <v>4039</v>
      </c>
      <c r="CU58" s="507">
        <v>2996</v>
      </c>
      <c r="CV58" s="507">
        <v>1162</v>
      </c>
      <c r="CW58" s="507">
        <v>1159</v>
      </c>
      <c r="CX58" s="508">
        <f t="shared" si="86"/>
        <v>0.28769497400346622</v>
      </c>
      <c r="CY58" s="508">
        <f t="shared" si="87"/>
        <v>0.38785046728971961</v>
      </c>
      <c r="CZ58" s="508">
        <v>0.36048526863084923</v>
      </c>
      <c r="DA58" s="509">
        <v>0.48598130841121495</v>
      </c>
      <c r="DB58" s="541">
        <v>6138</v>
      </c>
      <c r="DC58" s="507">
        <v>4574</v>
      </c>
      <c r="DD58" s="507">
        <v>3534</v>
      </c>
      <c r="DE58" s="507">
        <v>1308</v>
      </c>
      <c r="DF58" s="507">
        <v>1297</v>
      </c>
      <c r="DG58" s="508">
        <f t="shared" si="88"/>
        <v>0.28596414516834279</v>
      </c>
      <c r="DH58" s="508">
        <f t="shared" si="89"/>
        <v>0.37011884550084889</v>
      </c>
      <c r="DI58" s="508">
        <v>0.37713161346742458</v>
      </c>
      <c r="DJ58" s="509">
        <v>0.48811544991511036</v>
      </c>
      <c r="DK58" s="541">
        <v>6118</v>
      </c>
      <c r="DL58" s="507">
        <v>4557</v>
      </c>
      <c r="DM58" s="507">
        <v>3496</v>
      </c>
      <c r="DN58" s="507">
        <v>1313</v>
      </c>
      <c r="DO58" s="507">
        <v>1307</v>
      </c>
      <c r="DP58" s="508">
        <f t="shared" si="90"/>
        <v>0.28812815448760148</v>
      </c>
      <c r="DQ58" s="508">
        <f t="shared" si="91"/>
        <v>0.37557208237986273</v>
      </c>
      <c r="DR58" s="508">
        <v>0.38248847926267282</v>
      </c>
      <c r="DS58" s="509">
        <v>0.49856979405034324</v>
      </c>
      <c r="DT58" s="541">
        <v>6153</v>
      </c>
      <c r="DU58" s="507">
        <v>4470</v>
      </c>
      <c r="DV58" s="507">
        <v>3342</v>
      </c>
      <c r="DW58" s="507">
        <v>1364</v>
      </c>
      <c r="DX58" s="507">
        <v>1358</v>
      </c>
      <c r="DY58" s="508">
        <f t="shared" si="92"/>
        <v>0.30514541387024607</v>
      </c>
      <c r="DZ58" s="508">
        <f t="shared" si="93"/>
        <v>0.40813883901855175</v>
      </c>
      <c r="EA58" s="508">
        <v>0.37181208053691273</v>
      </c>
      <c r="EB58" s="509">
        <v>0.49730700179533216</v>
      </c>
    </row>
    <row r="59" spans="1:132" s="2" customFormat="1" x14ac:dyDescent="0.25">
      <c r="A59" s="503" t="s">
        <v>236</v>
      </c>
      <c r="B59" s="504" t="s">
        <v>242</v>
      </c>
      <c r="C59" s="505" t="s">
        <v>164</v>
      </c>
      <c r="D59" s="541">
        <v>3486</v>
      </c>
      <c r="E59" s="507">
        <v>3116</v>
      </c>
      <c r="F59" s="507">
        <v>2899</v>
      </c>
      <c r="G59" s="507">
        <v>651</v>
      </c>
      <c r="H59" s="507">
        <v>457</v>
      </c>
      <c r="I59" s="508">
        <f t="shared" si="28"/>
        <v>0.2089216944801027</v>
      </c>
      <c r="J59" s="509">
        <f t="shared" si="29"/>
        <v>0.22456019317005865</v>
      </c>
      <c r="K59" s="541">
        <v>3047</v>
      </c>
      <c r="L59" s="507">
        <v>2702</v>
      </c>
      <c r="M59" s="507">
        <v>2506</v>
      </c>
      <c r="N59" s="507">
        <v>601</v>
      </c>
      <c r="O59" s="507">
        <v>399</v>
      </c>
      <c r="P59" s="508">
        <f t="shared" si="64"/>
        <v>0.22242783123612139</v>
      </c>
      <c r="Q59" s="509">
        <f t="shared" si="65"/>
        <v>0.23982442138866719</v>
      </c>
      <c r="R59" s="541">
        <v>2529</v>
      </c>
      <c r="S59" s="507">
        <v>2375</v>
      </c>
      <c r="T59" s="507">
        <v>2219</v>
      </c>
      <c r="U59" s="507">
        <v>540</v>
      </c>
      <c r="V59" s="507">
        <v>380</v>
      </c>
      <c r="W59" s="508">
        <f t="shared" si="32"/>
        <v>0.22736842105263158</v>
      </c>
      <c r="X59" s="509">
        <f t="shared" si="33"/>
        <v>0.24335286164939163</v>
      </c>
      <c r="Y59" s="541">
        <v>2448</v>
      </c>
      <c r="Z59" s="507">
        <v>2308</v>
      </c>
      <c r="AA59" s="507">
        <v>2085</v>
      </c>
      <c r="AB59" s="507">
        <v>529</v>
      </c>
      <c r="AC59" s="507">
        <v>370</v>
      </c>
      <c r="AD59" s="508">
        <f t="shared" si="66"/>
        <v>0.22920277296360486</v>
      </c>
      <c r="AE59" s="509">
        <f t="shared" si="67"/>
        <v>0.25371702637889687</v>
      </c>
      <c r="AF59" s="541">
        <v>2259</v>
      </c>
      <c r="AG59" s="507">
        <v>2136</v>
      </c>
      <c r="AH59" s="507">
        <v>1938</v>
      </c>
      <c r="AI59" s="507">
        <v>513</v>
      </c>
      <c r="AJ59" s="507">
        <v>338</v>
      </c>
      <c r="AK59" s="508">
        <f t="shared" si="68"/>
        <v>0.2401685393258427</v>
      </c>
      <c r="AL59" s="509">
        <f t="shared" si="69"/>
        <v>0.26470588235294118</v>
      </c>
      <c r="AM59" s="541">
        <v>2049</v>
      </c>
      <c r="AN59" s="507">
        <v>1918</v>
      </c>
      <c r="AO59" s="507">
        <v>1721</v>
      </c>
      <c r="AP59" s="507">
        <v>485</v>
      </c>
      <c r="AQ59" s="507">
        <v>310</v>
      </c>
      <c r="AR59" s="508">
        <f t="shared" si="70"/>
        <v>0.25286757038581859</v>
      </c>
      <c r="AS59" s="509">
        <f t="shared" si="71"/>
        <v>0.28181289947704824</v>
      </c>
      <c r="AT59" s="541">
        <v>1902</v>
      </c>
      <c r="AU59" s="507">
        <v>1748</v>
      </c>
      <c r="AV59" s="507">
        <v>1652</v>
      </c>
      <c r="AW59" s="507">
        <v>484</v>
      </c>
      <c r="AX59" s="507">
        <v>303</v>
      </c>
      <c r="AY59" s="508">
        <f t="shared" si="72"/>
        <v>0.27688787185354691</v>
      </c>
      <c r="AZ59" s="509">
        <f t="shared" si="73"/>
        <v>0.29297820823244553</v>
      </c>
      <c r="BA59" s="541">
        <v>1708</v>
      </c>
      <c r="BB59" s="507">
        <v>1575</v>
      </c>
      <c r="BC59" s="507">
        <v>1464</v>
      </c>
      <c r="BD59" s="507">
        <v>550</v>
      </c>
      <c r="BE59" s="507">
        <v>327</v>
      </c>
      <c r="BF59" s="508">
        <f t="shared" si="74"/>
        <v>0.34920634920634919</v>
      </c>
      <c r="BG59" s="509">
        <f t="shared" si="75"/>
        <v>0.37568306010928959</v>
      </c>
      <c r="BH59" s="541">
        <v>1746</v>
      </c>
      <c r="BI59" s="507">
        <v>1583</v>
      </c>
      <c r="BJ59" s="507">
        <v>1479</v>
      </c>
      <c r="BK59" s="507">
        <v>547</v>
      </c>
      <c r="BL59" s="507">
        <v>330</v>
      </c>
      <c r="BM59" s="508">
        <f t="shared" si="76"/>
        <v>0.34554643082754266</v>
      </c>
      <c r="BN59" s="509">
        <f t="shared" si="77"/>
        <v>0.36984448951994592</v>
      </c>
      <c r="BO59" s="541">
        <v>1680</v>
      </c>
      <c r="BP59" s="507">
        <v>1520</v>
      </c>
      <c r="BQ59" s="507">
        <v>1408</v>
      </c>
      <c r="BR59" s="507">
        <v>556</v>
      </c>
      <c r="BS59" s="507">
        <v>295</v>
      </c>
      <c r="BT59" s="508">
        <f t="shared" si="78"/>
        <v>0.36578947368421055</v>
      </c>
      <c r="BU59" s="509">
        <f t="shared" si="79"/>
        <v>0.39488636363636365</v>
      </c>
      <c r="BV59" s="541">
        <v>1660</v>
      </c>
      <c r="BW59" s="507">
        <v>1496</v>
      </c>
      <c r="BX59" s="507">
        <v>1405</v>
      </c>
      <c r="BY59" s="507">
        <v>576</v>
      </c>
      <c r="BZ59" s="507">
        <v>330</v>
      </c>
      <c r="CA59" s="508">
        <f t="shared" si="80"/>
        <v>0.38502673796791442</v>
      </c>
      <c r="CB59" s="509">
        <f t="shared" si="81"/>
        <v>0.4099644128113879</v>
      </c>
      <c r="CC59" s="541">
        <v>1605</v>
      </c>
      <c r="CD59" s="507">
        <v>1482</v>
      </c>
      <c r="CE59" s="507">
        <v>1341</v>
      </c>
      <c r="CF59" s="507">
        <v>679</v>
      </c>
      <c r="CG59" s="507">
        <v>333</v>
      </c>
      <c r="CH59" s="508">
        <f t="shared" si="82"/>
        <v>0.45816464237516868</v>
      </c>
      <c r="CI59" s="509">
        <f t="shared" si="83"/>
        <v>0.50633855331841904</v>
      </c>
      <c r="CJ59" s="541">
        <v>1639</v>
      </c>
      <c r="CK59" s="507">
        <v>1496</v>
      </c>
      <c r="CL59" s="507">
        <v>1364</v>
      </c>
      <c r="CM59" s="507">
        <v>337</v>
      </c>
      <c r="CN59" s="507">
        <v>337</v>
      </c>
      <c r="CO59" s="508">
        <f t="shared" si="96"/>
        <v>0.2252673796791444</v>
      </c>
      <c r="CP59" s="508">
        <f t="shared" si="97"/>
        <v>0.24706744868035191</v>
      </c>
      <c r="CQ59" s="508">
        <v>0.51002673796791442</v>
      </c>
      <c r="CR59" s="509">
        <v>0.55938416422287385</v>
      </c>
      <c r="CS59" s="541">
        <v>1668</v>
      </c>
      <c r="CT59" s="507">
        <v>1509</v>
      </c>
      <c r="CU59" s="507">
        <v>1412</v>
      </c>
      <c r="CV59" s="507">
        <v>648</v>
      </c>
      <c r="CW59" s="507">
        <v>384</v>
      </c>
      <c r="CX59" s="508">
        <f t="shared" si="86"/>
        <v>0.42942345924453279</v>
      </c>
      <c r="CY59" s="508">
        <f t="shared" si="87"/>
        <v>0.45892351274787535</v>
      </c>
      <c r="CZ59" s="508">
        <v>0.59244532803180916</v>
      </c>
      <c r="DA59" s="509">
        <v>0.63314447592067991</v>
      </c>
      <c r="DB59" s="541">
        <v>1941</v>
      </c>
      <c r="DC59" s="507">
        <v>1738</v>
      </c>
      <c r="DD59" s="507">
        <v>1632</v>
      </c>
      <c r="DE59" s="507">
        <v>666</v>
      </c>
      <c r="DF59" s="507">
        <v>387</v>
      </c>
      <c r="DG59" s="508">
        <f t="shared" si="88"/>
        <v>0.38319907940161102</v>
      </c>
      <c r="DH59" s="508">
        <f t="shared" si="89"/>
        <v>0.40808823529411764</v>
      </c>
      <c r="DI59" s="508">
        <v>0.51265822784810122</v>
      </c>
      <c r="DJ59" s="509">
        <v>0.54595588235294112</v>
      </c>
      <c r="DK59" s="541">
        <v>1948</v>
      </c>
      <c r="DL59" s="507">
        <v>1757</v>
      </c>
      <c r="DM59" s="507">
        <v>1676</v>
      </c>
      <c r="DN59" s="507">
        <v>637</v>
      </c>
      <c r="DO59" s="507">
        <v>365</v>
      </c>
      <c r="DP59" s="508">
        <f t="shared" si="90"/>
        <v>0.36254980079681276</v>
      </c>
      <c r="DQ59" s="508">
        <f t="shared" si="91"/>
        <v>0.38007159904534604</v>
      </c>
      <c r="DR59" s="508">
        <v>0.48605577689243029</v>
      </c>
      <c r="DS59" s="509">
        <v>0.50954653937947492</v>
      </c>
      <c r="DT59" s="541">
        <v>1967</v>
      </c>
      <c r="DU59" s="507">
        <v>1764</v>
      </c>
      <c r="DV59" s="507">
        <v>1687</v>
      </c>
      <c r="DW59" s="507">
        <v>627</v>
      </c>
      <c r="DX59" s="507">
        <v>376</v>
      </c>
      <c r="DY59" s="508">
        <f t="shared" si="92"/>
        <v>0.35544217687074831</v>
      </c>
      <c r="DZ59" s="508">
        <f t="shared" si="93"/>
        <v>0.37166567871962064</v>
      </c>
      <c r="EA59" s="508">
        <v>0.49092970521541951</v>
      </c>
      <c r="EB59" s="509">
        <v>0.51333728512151744</v>
      </c>
    </row>
    <row r="60" spans="1:132" s="2" customFormat="1" x14ac:dyDescent="0.25">
      <c r="A60" s="503" t="s">
        <v>236</v>
      </c>
      <c r="B60" s="504" t="s">
        <v>243</v>
      </c>
      <c r="C60" s="505" t="s">
        <v>244</v>
      </c>
      <c r="D60" s="541">
        <v>718</v>
      </c>
      <c r="E60" s="507">
        <v>660</v>
      </c>
      <c r="F60" s="507">
        <v>560</v>
      </c>
      <c r="G60" s="507">
        <v>458</v>
      </c>
      <c r="H60" s="507">
        <v>400</v>
      </c>
      <c r="I60" s="508">
        <f t="shared" si="28"/>
        <v>0.69393939393939397</v>
      </c>
      <c r="J60" s="509">
        <f t="shared" si="29"/>
        <v>0.81785714285714284</v>
      </c>
      <c r="K60" s="541">
        <v>786</v>
      </c>
      <c r="L60" s="507">
        <v>714</v>
      </c>
      <c r="M60" s="507">
        <v>632</v>
      </c>
      <c r="N60" s="507">
        <v>430</v>
      </c>
      <c r="O60" s="507">
        <v>379</v>
      </c>
      <c r="P60" s="508">
        <f t="shared" si="64"/>
        <v>0.60224089635854339</v>
      </c>
      <c r="Q60" s="509">
        <f t="shared" si="65"/>
        <v>0.680379746835443</v>
      </c>
      <c r="R60" s="541">
        <v>823</v>
      </c>
      <c r="S60" s="507">
        <v>744</v>
      </c>
      <c r="T60" s="507">
        <v>622</v>
      </c>
      <c r="U60" s="507">
        <v>418</v>
      </c>
      <c r="V60" s="507">
        <v>384</v>
      </c>
      <c r="W60" s="508">
        <f t="shared" si="32"/>
        <v>0.56182795698924726</v>
      </c>
      <c r="X60" s="509">
        <f t="shared" si="33"/>
        <v>0.67202572347266876</v>
      </c>
      <c r="Y60" s="541">
        <v>796</v>
      </c>
      <c r="Z60" s="507">
        <v>724</v>
      </c>
      <c r="AA60" s="507">
        <v>596</v>
      </c>
      <c r="AB60" s="507">
        <v>404</v>
      </c>
      <c r="AC60" s="507">
        <v>356</v>
      </c>
      <c r="AD60" s="508">
        <f t="shared" si="66"/>
        <v>0.55801104972375692</v>
      </c>
      <c r="AE60" s="509">
        <f t="shared" si="67"/>
        <v>0.67785234899328861</v>
      </c>
      <c r="AF60" s="541">
        <v>710</v>
      </c>
      <c r="AG60" s="507">
        <v>660</v>
      </c>
      <c r="AH60" s="507">
        <v>525</v>
      </c>
      <c r="AI60" s="507">
        <v>362</v>
      </c>
      <c r="AJ60" s="507">
        <v>309</v>
      </c>
      <c r="AK60" s="508">
        <f t="shared" si="68"/>
        <v>0.54848484848484846</v>
      </c>
      <c r="AL60" s="509">
        <f t="shared" si="69"/>
        <v>0.68952380952380954</v>
      </c>
      <c r="AM60" s="541">
        <v>643</v>
      </c>
      <c r="AN60" s="507">
        <v>592</v>
      </c>
      <c r="AO60" s="507">
        <v>486</v>
      </c>
      <c r="AP60" s="507">
        <v>380</v>
      </c>
      <c r="AQ60" s="507">
        <v>307</v>
      </c>
      <c r="AR60" s="508">
        <f t="shared" si="70"/>
        <v>0.64189189189189189</v>
      </c>
      <c r="AS60" s="509">
        <f t="shared" si="71"/>
        <v>0.78189300411522633</v>
      </c>
      <c r="AT60" s="541">
        <v>723</v>
      </c>
      <c r="AU60" s="507">
        <v>659</v>
      </c>
      <c r="AV60" s="507">
        <v>532</v>
      </c>
      <c r="AW60" s="507">
        <v>399</v>
      </c>
      <c r="AX60" s="507">
        <v>325</v>
      </c>
      <c r="AY60" s="508">
        <f t="shared" si="72"/>
        <v>0.6054628224582701</v>
      </c>
      <c r="AZ60" s="509">
        <f t="shared" si="73"/>
        <v>0.75</v>
      </c>
      <c r="BA60" s="541">
        <v>534</v>
      </c>
      <c r="BB60" s="507">
        <v>491</v>
      </c>
      <c r="BC60" s="507">
        <v>361</v>
      </c>
      <c r="BD60" s="507">
        <v>334</v>
      </c>
      <c r="BE60" s="507">
        <v>275</v>
      </c>
      <c r="BF60" s="508">
        <f t="shared" si="74"/>
        <v>0.68024439918533608</v>
      </c>
      <c r="BG60" s="509">
        <f t="shared" si="75"/>
        <v>0.92520775623268703</v>
      </c>
      <c r="BH60" s="541">
        <v>582</v>
      </c>
      <c r="BI60" s="507">
        <v>548</v>
      </c>
      <c r="BJ60" s="507">
        <v>425</v>
      </c>
      <c r="BK60" s="507">
        <v>345</v>
      </c>
      <c r="BL60" s="507">
        <v>275</v>
      </c>
      <c r="BM60" s="508">
        <f t="shared" si="76"/>
        <v>0.62956204379562042</v>
      </c>
      <c r="BN60" s="509">
        <f t="shared" si="77"/>
        <v>0.81176470588235294</v>
      </c>
      <c r="BO60" s="541">
        <v>621</v>
      </c>
      <c r="BP60" s="507">
        <v>582</v>
      </c>
      <c r="BQ60" s="507">
        <v>463</v>
      </c>
      <c r="BR60" s="507">
        <v>383</v>
      </c>
      <c r="BS60" s="507">
        <v>312</v>
      </c>
      <c r="BT60" s="508">
        <f t="shared" si="78"/>
        <v>0.65807560137457044</v>
      </c>
      <c r="BU60" s="509">
        <f t="shared" si="79"/>
        <v>0.82721382289416845</v>
      </c>
      <c r="BV60" s="541">
        <v>486</v>
      </c>
      <c r="BW60" s="507">
        <v>449</v>
      </c>
      <c r="BX60" s="507">
        <v>332</v>
      </c>
      <c r="BY60" s="507">
        <v>292</v>
      </c>
      <c r="BZ60" s="507">
        <v>233</v>
      </c>
      <c r="CA60" s="508">
        <f t="shared" si="80"/>
        <v>0.65033407572383073</v>
      </c>
      <c r="CB60" s="509">
        <f t="shared" si="81"/>
        <v>0.87951807228915657</v>
      </c>
      <c r="CC60" s="541">
        <v>913</v>
      </c>
      <c r="CD60" s="507">
        <v>871</v>
      </c>
      <c r="CE60" s="507">
        <v>843</v>
      </c>
      <c r="CF60" s="507">
        <v>625</v>
      </c>
      <c r="CG60" s="507">
        <v>620</v>
      </c>
      <c r="CH60" s="508">
        <f t="shared" si="82"/>
        <v>0.71756601607347881</v>
      </c>
      <c r="CI60" s="509">
        <f t="shared" si="83"/>
        <v>0.74139976275207597</v>
      </c>
      <c r="CJ60" s="541">
        <v>973</v>
      </c>
      <c r="CK60" s="507">
        <v>893</v>
      </c>
      <c r="CL60" s="507">
        <v>751</v>
      </c>
      <c r="CM60" s="507">
        <v>396</v>
      </c>
      <c r="CN60" s="507">
        <v>376</v>
      </c>
      <c r="CO60" s="508">
        <f t="shared" si="96"/>
        <v>0.44344904815229563</v>
      </c>
      <c r="CP60" s="508">
        <f t="shared" si="97"/>
        <v>0.52729693741677763</v>
      </c>
      <c r="CQ60" s="508">
        <v>0.46584546472564392</v>
      </c>
      <c r="CR60" s="509">
        <v>0.5539280958721704</v>
      </c>
      <c r="CS60" s="541">
        <v>986</v>
      </c>
      <c r="CT60" s="507">
        <v>908</v>
      </c>
      <c r="CU60" s="507">
        <v>732</v>
      </c>
      <c r="CV60" s="507">
        <v>389</v>
      </c>
      <c r="CW60" s="507">
        <v>375</v>
      </c>
      <c r="CX60" s="508">
        <f t="shared" si="86"/>
        <v>0.42841409691629956</v>
      </c>
      <c r="CY60" s="508">
        <f t="shared" si="87"/>
        <v>0.53142076502732238</v>
      </c>
      <c r="CZ60" s="508">
        <v>0.45264317180616742</v>
      </c>
      <c r="DA60" s="509">
        <v>0.56147540983606559</v>
      </c>
      <c r="DB60" s="541">
        <v>1171</v>
      </c>
      <c r="DC60" s="507">
        <v>1060</v>
      </c>
      <c r="DD60" s="507">
        <v>897</v>
      </c>
      <c r="DE60" s="507">
        <v>415</v>
      </c>
      <c r="DF60" s="507">
        <v>387</v>
      </c>
      <c r="DG60" s="508">
        <f t="shared" si="88"/>
        <v>0.39150943396226418</v>
      </c>
      <c r="DH60" s="508">
        <f t="shared" si="89"/>
        <v>0.46265328874024525</v>
      </c>
      <c r="DI60" s="508">
        <v>0.42264150943396228</v>
      </c>
      <c r="DJ60" s="509">
        <v>0.49944258639910816</v>
      </c>
      <c r="DK60" s="541">
        <v>1199</v>
      </c>
      <c r="DL60" s="507">
        <v>1061</v>
      </c>
      <c r="DM60" s="507">
        <v>845</v>
      </c>
      <c r="DN60" s="507">
        <v>408</v>
      </c>
      <c r="DO60" s="507">
        <v>391</v>
      </c>
      <c r="DP60" s="508">
        <f t="shared" si="90"/>
        <v>0.38454288407163056</v>
      </c>
      <c r="DQ60" s="508">
        <f t="shared" si="91"/>
        <v>0.48284023668639053</v>
      </c>
      <c r="DR60" s="508">
        <v>0.4062205466540999</v>
      </c>
      <c r="DS60" s="509">
        <v>0.51005917159763314</v>
      </c>
      <c r="DT60" s="541">
        <v>1100</v>
      </c>
      <c r="DU60" s="507">
        <v>1005</v>
      </c>
      <c r="DV60" s="507">
        <v>801</v>
      </c>
      <c r="DW60" s="507">
        <v>318</v>
      </c>
      <c r="DX60" s="507">
        <v>306</v>
      </c>
      <c r="DY60" s="508">
        <f t="shared" si="92"/>
        <v>0.31641791044776119</v>
      </c>
      <c r="DZ60" s="508">
        <f t="shared" si="93"/>
        <v>0.39700374531835209</v>
      </c>
      <c r="EA60" s="508">
        <v>0.34228855721393037</v>
      </c>
      <c r="EB60" s="509">
        <v>0.42946317103620474</v>
      </c>
    </row>
    <row r="61" spans="1:132" s="2" customFormat="1" x14ac:dyDescent="0.25">
      <c r="A61" s="503" t="s">
        <v>236</v>
      </c>
      <c r="B61" s="504" t="s">
        <v>245</v>
      </c>
      <c r="C61" s="505" t="s">
        <v>176</v>
      </c>
      <c r="D61" s="541">
        <v>2618</v>
      </c>
      <c r="E61" s="507">
        <v>2167</v>
      </c>
      <c r="F61" s="507">
        <v>1984</v>
      </c>
      <c r="G61" s="507">
        <v>1718</v>
      </c>
      <c r="H61" s="507">
        <v>1012</v>
      </c>
      <c r="I61" s="508">
        <f t="shared" si="28"/>
        <v>0.79280110752191968</v>
      </c>
      <c r="J61" s="509">
        <f t="shared" si="29"/>
        <v>0.86592741935483875</v>
      </c>
      <c r="K61" s="541">
        <v>3341</v>
      </c>
      <c r="L61" s="507">
        <v>2678</v>
      </c>
      <c r="M61" s="507">
        <v>2456</v>
      </c>
      <c r="N61" s="507">
        <v>2098</v>
      </c>
      <c r="O61" s="507">
        <v>1312</v>
      </c>
      <c r="P61" s="508">
        <f t="shared" si="64"/>
        <v>0.78342046303211355</v>
      </c>
      <c r="Q61" s="509">
        <f t="shared" si="65"/>
        <v>0.85423452768729646</v>
      </c>
      <c r="R61" s="541">
        <v>3356</v>
      </c>
      <c r="S61" s="507">
        <v>2638</v>
      </c>
      <c r="T61" s="507">
        <v>2394</v>
      </c>
      <c r="U61" s="507">
        <v>1898</v>
      </c>
      <c r="V61" s="507">
        <v>1297</v>
      </c>
      <c r="W61" s="508">
        <f t="shared" si="32"/>
        <v>0.71948445792266869</v>
      </c>
      <c r="X61" s="509">
        <f t="shared" si="33"/>
        <v>0.7928153717627402</v>
      </c>
      <c r="Y61" s="541">
        <v>3188</v>
      </c>
      <c r="Z61" s="507">
        <v>2516</v>
      </c>
      <c r="AA61" s="507">
        <v>2350</v>
      </c>
      <c r="AB61" s="507">
        <v>2102</v>
      </c>
      <c r="AC61" s="507">
        <v>1232</v>
      </c>
      <c r="AD61" s="508">
        <f t="shared" si="66"/>
        <v>0.83545310015898255</v>
      </c>
      <c r="AE61" s="509">
        <f t="shared" si="67"/>
        <v>0.89446808510638298</v>
      </c>
      <c r="AF61" s="541">
        <v>3248</v>
      </c>
      <c r="AG61" s="507">
        <v>2552</v>
      </c>
      <c r="AH61" s="507">
        <v>2373</v>
      </c>
      <c r="AI61" s="507">
        <v>2120</v>
      </c>
      <c r="AJ61" s="507">
        <v>1305</v>
      </c>
      <c r="AK61" s="508">
        <f t="shared" si="68"/>
        <v>0.83072100313479624</v>
      </c>
      <c r="AL61" s="509">
        <f t="shared" si="69"/>
        <v>0.89338390223345976</v>
      </c>
      <c r="AM61" s="541">
        <v>3521</v>
      </c>
      <c r="AN61" s="507">
        <v>2764</v>
      </c>
      <c r="AO61" s="507">
        <v>2594</v>
      </c>
      <c r="AP61" s="507">
        <v>2323</v>
      </c>
      <c r="AQ61" s="507">
        <v>1405</v>
      </c>
      <c r="AR61" s="508">
        <f t="shared" si="70"/>
        <v>0.84044862518089725</v>
      </c>
      <c r="AS61" s="509">
        <f t="shared" si="71"/>
        <v>0.89552814186584428</v>
      </c>
      <c r="AT61" s="541">
        <v>3324</v>
      </c>
      <c r="AU61" s="507">
        <v>2559</v>
      </c>
      <c r="AV61" s="507">
        <v>2442</v>
      </c>
      <c r="AW61" s="507">
        <v>2204</v>
      </c>
      <c r="AX61" s="507">
        <v>1290</v>
      </c>
      <c r="AY61" s="508">
        <f t="shared" si="72"/>
        <v>0.86127393513091055</v>
      </c>
      <c r="AZ61" s="509">
        <f t="shared" si="73"/>
        <v>0.90253890253890257</v>
      </c>
      <c r="BA61" s="541">
        <v>3018</v>
      </c>
      <c r="BB61" s="507">
        <v>2271</v>
      </c>
      <c r="BC61" s="507">
        <v>2100</v>
      </c>
      <c r="BD61" s="507">
        <v>1771</v>
      </c>
      <c r="BE61" s="507">
        <v>1004</v>
      </c>
      <c r="BF61" s="508">
        <f t="shared" si="74"/>
        <v>0.77983267283135183</v>
      </c>
      <c r="BG61" s="509">
        <f t="shared" si="75"/>
        <v>0.84333333333333338</v>
      </c>
      <c r="BH61" s="541">
        <v>2734</v>
      </c>
      <c r="BI61" s="507">
        <v>2114</v>
      </c>
      <c r="BJ61" s="507">
        <v>1932</v>
      </c>
      <c r="BK61" s="507">
        <v>1730</v>
      </c>
      <c r="BL61" s="507">
        <v>985</v>
      </c>
      <c r="BM61" s="508">
        <f t="shared" si="76"/>
        <v>0.81835383159886466</v>
      </c>
      <c r="BN61" s="509">
        <f t="shared" si="77"/>
        <v>0.8954451345755694</v>
      </c>
      <c r="BO61" s="541">
        <v>2460</v>
      </c>
      <c r="BP61" s="507">
        <v>1924</v>
      </c>
      <c r="BQ61" s="507">
        <v>1773</v>
      </c>
      <c r="BR61" s="507">
        <v>1635</v>
      </c>
      <c r="BS61" s="507">
        <v>945</v>
      </c>
      <c r="BT61" s="508">
        <f t="shared" si="78"/>
        <v>0.8497920997920998</v>
      </c>
      <c r="BU61" s="509">
        <f t="shared" si="79"/>
        <v>0.92216582064297803</v>
      </c>
      <c r="BV61" s="541">
        <v>2750</v>
      </c>
      <c r="BW61" s="507">
        <v>2155</v>
      </c>
      <c r="BX61" s="507">
        <v>2030</v>
      </c>
      <c r="BY61" s="507">
        <v>1902</v>
      </c>
      <c r="BZ61" s="507">
        <v>1092</v>
      </c>
      <c r="CA61" s="508">
        <f t="shared" si="80"/>
        <v>0.88259860788863109</v>
      </c>
      <c r="CB61" s="509">
        <f t="shared" si="81"/>
        <v>0.93694581280788181</v>
      </c>
      <c r="CC61" s="541">
        <v>2737</v>
      </c>
      <c r="CD61" s="507">
        <v>2119</v>
      </c>
      <c r="CE61" s="507">
        <v>2063</v>
      </c>
      <c r="CF61" s="507">
        <v>1875</v>
      </c>
      <c r="CG61" s="507">
        <v>1050</v>
      </c>
      <c r="CH61" s="508">
        <f t="shared" si="82"/>
        <v>0.88485134497404438</v>
      </c>
      <c r="CI61" s="509">
        <f t="shared" si="83"/>
        <v>0.90887057682985939</v>
      </c>
      <c r="CJ61" s="541">
        <v>2871</v>
      </c>
      <c r="CK61" s="507">
        <v>2256</v>
      </c>
      <c r="CL61" s="507">
        <v>1406</v>
      </c>
      <c r="CM61" s="507">
        <v>1105</v>
      </c>
      <c r="CN61" s="507">
        <v>1099</v>
      </c>
      <c r="CO61" s="508">
        <f t="shared" si="96"/>
        <v>0.48980496453900707</v>
      </c>
      <c r="CP61" s="508">
        <f t="shared" si="97"/>
        <v>0.78591749644381226</v>
      </c>
      <c r="CQ61" s="508">
        <v>0.52349290780141844</v>
      </c>
      <c r="CR61" s="509">
        <v>0.83997155049786631</v>
      </c>
      <c r="CS61" s="541">
        <v>2846</v>
      </c>
      <c r="CT61" s="507">
        <v>2194</v>
      </c>
      <c r="CU61" s="507">
        <v>1341</v>
      </c>
      <c r="CV61" s="507">
        <v>1061</v>
      </c>
      <c r="CW61" s="507">
        <v>1042</v>
      </c>
      <c r="CX61" s="508">
        <f t="shared" si="86"/>
        <v>0.48359161349134</v>
      </c>
      <c r="CY61" s="508">
        <f t="shared" si="87"/>
        <v>0.79120059656972408</v>
      </c>
      <c r="CZ61" s="508">
        <v>0.50501367365542393</v>
      </c>
      <c r="DA61" s="509">
        <v>0.82624906785980612</v>
      </c>
      <c r="DB61" s="541">
        <v>3473</v>
      </c>
      <c r="DC61" s="507">
        <v>2620</v>
      </c>
      <c r="DD61" s="507">
        <v>1514</v>
      </c>
      <c r="DE61" s="507">
        <v>1169</v>
      </c>
      <c r="DF61" s="507">
        <v>1164</v>
      </c>
      <c r="DG61" s="508">
        <f t="shared" si="88"/>
        <v>0.44618320610687023</v>
      </c>
      <c r="DH61" s="508">
        <f t="shared" si="89"/>
        <v>0.77212681638044911</v>
      </c>
      <c r="DI61" s="508">
        <v>0.47786259541984732</v>
      </c>
      <c r="DJ61" s="509">
        <v>0.82694848084544259</v>
      </c>
      <c r="DK61" s="541">
        <v>3328</v>
      </c>
      <c r="DL61" s="507">
        <v>2498</v>
      </c>
      <c r="DM61" s="507">
        <v>1590</v>
      </c>
      <c r="DN61" s="507">
        <v>1280</v>
      </c>
      <c r="DO61" s="507">
        <v>1223</v>
      </c>
      <c r="DP61" s="508">
        <f t="shared" si="90"/>
        <v>0.51240992794235385</v>
      </c>
      <c r="DQ61" s="508">
        <f t="shared" si="91"/>
        <v>0.80503144654088055</v>
      </c>
      <c r="DR61" s="508">
        <v>0.53963170536429139</v>
      </c>
      <c r="DS61" s="509">
        <v>0.84779874213836481</v>
      </c>
      <c r="DT61" s="541">
        <v>3348</v>
      </c>
      <c r="DU61" s="507">
        <v>2491</v>
      </c>
      <c r="DV61" s="507">
        <v>1691</v>
      </c>
      <c r="DW61" s="507">
        <v>1227</v>
      </c>
      <c r="DX61" s="507">
        <v>1150</v>
      </c>
      <c r="DY61" s="508">
        <f t="shared" si="92"/>
        <v>0.49257326374949817</v>
      </c>
      <c r="DZ61" s="508">
        <f t="shared" si="93"/>
        <v>0.72560615020697816</v>
      </c>
      <c r="EA61" s="508">
        <v>0.53713368125250904</v>
      </c>
      <c r="EB61" s="509">
        <v>0.79124778237729154</v>
      </c>
    </row>
    <row r="62" spans="1:132" s="2" customFormat="1" x14ac:dyDescent="0.25">
      <c r="A62" s="503" t="s">
        <v>236</v>
      </c>
      <c r="B62" s="504" t="s">
        <v>246</v>
      </c>
      <c r="C62" s="505" t="s">
        <v>180</v>
      </c>
      <c r="D62" s="541">
        <v>6413</v>
      </c>
      <c r="E62" s="507">
        <v>4663</v>
      </c>
      <c r="F62" s="507">
        <v>3797</v>
      </c>
      <c r="G62" s="507">
        <v>1694</v>
      </c>
      <c r="H62" s="507">
        <v>1369</v>
      </c>
      <c r="I62" s="508">
        <f t="shared" si="28"/>
        <v>0.36328543855886769</v>
      </c>
      <c r="J62" s="509">
        <f t="shared" si="29"/>
        <v>0.44614169080853305</v>
      </c>
      <c r="K62" s="541">
        <v>6506</v>
      </c>
      <c r="L62" s="507">
        <v>4679</v>
      </c>
      <c r="M62" s="507">
        <v>3757</v>
      </c>
      <c r="N62" s="507">
        <v>1388</v>
      </c>
      <c r="O62" s="507">
        <v>1129</v>
      </c>
      <c r="P62" s="508">
        <f t="shared" si="64"/>
        <v>0.29664458217567857</v>
      </c>
      <c r="Q62" s="509">
        <f t="shared" si="65"/>
        <v>0.3694437050838435</v>
      </c>
      <c r="R62" s="541">
        <v>8602</v>
      </c>
      <c r="S62" s="507">
        <v>5955</v>
      </c>
      <c r="T62" s="507">
        <v>4828</v>
      </c>
      <c r="U62" s="507">
        <v>1493</v>
      </c>
      <c r="V62" s="507">
        <v>1174</v>
      </c>
      <c r="W62" s="508">
        <f t="shared" si="32"/>
        <v>0.25071368597816962</v>
      </c>
      <c r="X62" s="509">
        <f t="shared" si="33"/>
        <v>0.30923777961888982</v>
      </c>
      <c r="Y62" s="541">
        <v>7672</v>
      </c>
      <c r="Z62" s="507">
        <v>5422</v>
      </c>
      <c r="AA62" s="507">
        <v>4361</v>
      </c>
      <c r="AB62" s="507">
        <v>1198</v>
      </c>
      <c r="AC62" s="507">
        <v>999</v>
      </c>
      <c r="AD62" s="508">
        <f t="shared" si="66"/>
        <v>0.22095167834747326</v>
      </c>
      <c r="AE62" s="509">
        <f t="shared" si="67"/>
        <v>0.27470763586333408</v>
      </c>
      <c r="AF62" s="541">
        <v>6071</v>
      </c>
      <c r="AG62" s="507">
        <v>4381</v>
      </c>
      <c r="AH62" s="507">
        <v>3406</v>
      </c>
      <c r="AI62" s="507">
        <v>1108</v>
      </c>
      <c r="AJ62" s="507">
        <v>917</v>
      </c>
      <c r="AK62" s="508">
        <f t="shared" si="68"/>
        <v>0.25291029445332114</v>
      </c>
      <c r="AL62" s="509">
        <f t="shared" si="69"/>
        <v>0.32530827950675278</v>
      </c>
      <c r="AM62" s="541">
        <v>5875</v>
      </c>
      <c r="AN62" s="507">
        <v>4142</v>
      </c>
      <c r="AO62" s="507">
        <v>3158</v>
      </c>
      <c r="AP62" s="507">
        <v>1153</v>
      </c>
      <c r="AQ62" s="507">
        <v>965</v>
      </c>
      <c r="AR62" s="508">
        <f t="shared" si="70"/>
        <v>0.2783679381941091</v>
      </c>
      <c r="AS62" s="509">
        <f t="shared" si="71"/>
        <v>0.36510449651678278</v>
      </c>
      <c r="AT62" s="541">
        <v>5825</v>
      </c>
      <c r="AU62" s="507">
        <v>4005</v>
      </c>
      <c r="AV62" s="507">
        <v>3109</v>
      </c>
      <c r="AW62" s="507">
        <v>1422</v>
      </c>
      <c r="AX62" s="507">
        <v>1116</v>
      </c>
      <c r="AY62" s="508">
        <f t="shared" si="72"/>
        <v>0.35505617977528092</v>
      </c>
      <c r="AZ62" s="509">
        <f t="shared" si="73"/>
        <v>0.45738179478932134</v>
      </c>
      <c r="BA62" s="541">
        <v>5196</v>
      </c>
      <c r="BB62" s="507">
        <v>3581</v>
      </c>
      <c r="BC62" s="507">
        <v>2704</v>
      </c>
      <c r="BD62" s="507">
        <v>1068</v>
      </c>
      <c r="BE62" s="507">
        <v>1068</v>
      </c>
      <c r="BF62" s="508">
        <f t="shared" si="74"/>
        <v>0.29824071488411058</v>
      </c>
      <c r="BG62" s="509">
        <f t="shared" si="75"/>
        <v>0.39497041420118345</v>
      </c>
      <c r="BH62" s="541">
        <v>4214</v>
      </c>
      <c r="BI62" s="507">
        <v>2997</v>
      </c>
      <c r="BJ62" s="507">
        <v>2297</v>
      </c>
      <c r="BK62" s="507">
        <v>1070</v>
      </c>
      <c r="BL62" s="507">
        <v>1070</v>
      </c>
      <c r="BM62" s="508">
        <f t="shared" si="76"/>
        <v>0.35702369035702369</v>
      </c>
      <c r="BN62" s="509">
        <f t="shared" si="77"/>
        <v>0.4658249891162386</v>
      </c>
      <c r="BO62" s="541">
        <v>4443</v>
      </c>
      <c r="BP62" s="507">
        <v>3160</v>
      </c>
      <c r="BQ62" s="507">
        <v>2409</v>
      </c>
      <c r="BR62" s="507">
        <v>1169</v>
      </c>
      <c r="BS62" s="507">
        <v>1167</v>
      </c>
      <c r="BT62" s="508">
        <f t="shared" si="78"/>
        <v>0.36993670886075947</v>
      </c>
      <c r="BU62" s="509">
        <f t="shared" si="79"/>
        <v>0.48526359485263593</v>
      </c>
      <c r="BV62" s="541">
        <v>4539</v>
      </c>
      <c r="BW62" s="507">
        <v>3294</v>
      </c>
      <c r="BX62" s="507">
        <v>2610</v>
      </c>
      <c r="BY62" s="507">
        <v>1319</v>
      </c>
      <c r="BZ62" s="507">
        <v>1319</v>
      </c>
      <c r="CA62" s="508">
        <f t="shared" si="80"/>
        <v>0.40042501517911355</v>
      </c>
      <c r="CB62" s="509">
        <f t="shared" si="81"/>
        <v>0.50536398467432952</v>
      </c>
      <c r="CC62" s="541">
        <v>4942</v>
      </c>
      <c r="CD62" s="507">
        <v>3494</v>
      </c>
      <c r="CE62" s="507">
        <v>3260</v>
      </c>
      <c r="CF62" s="507">
        <v>1357</v>
      </c>
      <c r="CG62" s="507">
        <v>1351</v>
      </c>
      <c r="CH62" s="508">
        <f t="shared" si="82"/>
        <v>0.38838008013737835</v>
      </c>
      <c r="CI62" s="509">
        <f t="shared" si="83"/>
        <v>0.41625766871165643</v>
      </c>
      <c r="CJ62" s="541">
        <v>5777</v>
      </c>
      <c r="CK62" s="507">
        <v>4122</v>
      </c>
      <c r="CL62" s="507">
        <v>3558</v>
      </c>
      <c r="CM62" s="507">
        <v>1302</v>
      </c>
      <c r="CN62" s="507">
        <v>1298</v>
      </c>
      <c r="CO62" s="508">
        <f t="shared" si="96"/>
        <v>0.31586608442503639</v>
      </c>
      <c r="CP62" s="508">
        <f t="shared" si="97"/>
        <v>0.36593591905564926</v>
      </c>
      <c r="CQ62" s="508">
        <v>0.36123241145075208</v>
      </c>
      <c r="CR62" s="509">
        <v>0.41849353569421022</v>
      </c>
      <c r="CS62" s="541">
        <v>5704</v>
      </c>
      <c r="CT62" s="507">
        <v>4013</v>
      </c>
      <c r="CU62" s="507">
        <v>3330</v>
      </c>
      <c r="CV62" s="507">
        <v>1076</v>
      </c>
      <c r="CW62" s="507">
        <v>1074</v>
      </c>
      <c r="CX62" s="508">
        <f t="shared" si="86"/>
        <v>0.26812858210814849</v>
      </c>
      <c r="CY62" s="508">
        <f t="shared" si="87"/>
        <v>0.32312312312312313</v>
      </c>
      <c r="CZ62" s="508">
        <v>0.31672065786194864</v>
      </c>
      <c r="DA62" s="509">
        <v>0.38168168168168171</v>
      </c>
      <c r="DB62" s="541">
        <v>6271</v>
      </c>
      <c r="DC62" s="507">
        <v>4233</v>
      </c>
      <c r="DD62" s="507">
        <v>3458</v>
      </c>
      <c r="DE62" s="507">
        <v>1041</v>
      </c>
      <c r="DF62" s="507">
        <v>1038</v>
      </c>
      <c r="DG62" s="508">
        <f t="shared" si="88"/>
        <v>0.24592487597448617</v>
      </c>
      <c r="DH62" s="508">
        <f t="shared" si="89"/>
        <v>0.30104106419895893</v>
      </c>
      <c r="DI62" s="508">
        <v>0.3253012048192771</v>
      </c>
      <c r="DJ62" s="509">
        <v>0.39820705610179297</v>
      </c>
      <c r="DK62" s="541">
        <v>5069</v>
      </c>
      <c r="DL62" s="507">
        <v>3495</v>
      </c>
      <c r="DM62" s="507">
        <v>3076</v>
      </c>
      <c r="DN62" s="507">
        <v>840</v>
      </c>
      <c r="DO62" s="507">
        <v>840</v>
      </c>
      <c r="DP62" s="508">
        <f t="shared" si="90"/>
        <v>0.24034334763948498</v>
      </c>
      <c r="DQ62" s="508">
        <f t="shared" si="91"/>
        <v>0.27308192457737324</v>
      </c>
      <c r="DR62" s="508">
        <v>0.34935622317596565</v>
      </c>
      <c r="DS62" s="509">
        <v>0.39694408322496749</v>
      </c>
      <c r="DT62" s="541">
        <v>4504</v>
      </c>
      <c r="DU62" s="507">
        <v>3110</v>
      </c>
      <c r="DV62" s="507">
        <v>2780</v>
      </c>
      <c r="DW62" s="507">
        <v>1009</v>
      </c>
      <c r="DX62" s="507">
        <v>1005</v>
      </c>
      <c r="DY62" s="508">
        <f t="shared" si="92"/>
        <v>0.32443729903536977</v>
      </c>
      <c r="DZ62" s="508">
        <f t="shared" si="93"/>
        <v>0.36294964028776977</v>
      </c>
      <c r="EA62" s="508">
        <v>0.49228295819935691</v>
      </c>
      <c r="EB62" s="509">
        <v>0.55071942446043165</v>
      </c>
    </row>
    <row r="63" spans="1:132" s="2" customFormat="1" x14ac:dyDescent="0.25">
      <c r="A63" s="511" t="s">
        <v>236</v>
      </c>
      <c r="B63" s="512" t="s">
        <v>247</v>
      </c>
      <c r="C63" s="513" t="s">
        <v>248</v>
      </c>
      <c r="D63" s="563">
        <v>2018</v>
      </c>
      <c r="E63" s="515">
        <v>1607</v>
      </c>
      <c r="F63" s="515">
        <v>1335</v>
      </c>
      <c r="G63" s="515">
        <v>637</v>
      </c>
      <c r="H63" s="515">
        <v>544</v>
      </c>
      <c r="I63" s="516">
        <f t="shared" si="28"/>
        <v>0.39639079029247043</v>
      </c>
      <c r="J63" s="517">
        <f t="shared" si="29"/>
        <v>0.47715355805243448</v>
      </c>
      <c r="K63" s="563">
        <v>1744</v>
      </c>
      <c r="L63" s="515">
        <v>1386</v>
      </c>
      <c r="M63" s="515">
        <v>1093</v>
      </c>
      <c r="N63" s="515">
        <v>588</v>
      </c>
      <c r="O63" s="515">
        <v>518</v>
      </c>
      <c r="P63" s="516">
        <f t="shared" si="64"/>
        <v>0.42424242424242425</v>
      </c>
      <c r="Q63" s="517">
        <f t="shared" si="65"/>
        <v>0.53796889295516925</v>
      </c>
      <c r="R63" s="563">
        <v>1904</v>
      </c>
      <c r="S63" s="515">
        <v>1496</v>
      </c>
      <c r="T63" s="515">
        <v>1220</v>
      </c>
      <c r="U63" s="515">
        <v>641</v>
      </c>
      <c r="V63" s="515">
        <v>541</v>
      </c>
      <c r="W63" s="516">
        <f t="shared" si="32"/>
        <v>0.428475935828877</v>
      </c>
      <c r="X63" s="517">
        <f t="shared" si="33"/>
        <v>0.52540983606557379</v>
      </c>
      <c r="Y63" s="563">
        <v>1480</v>
      </c>
      <c r="Z63" s="515">
        <v>1182</v>
      </c>
      <c r="AA63" s="515">
        <v>968</v>
      </c>
      <c r="AB63" s="515">
        <v>492</v>
      </c>
      <c r="AC63" s="515">
        <v>432</v>
      </c>
      <c r="AD63" s="516">
        <f t="shared" si="66"/>
        <v>0.41624365482233505</v>
      </c>
      <c r="AE63" s="517">
        <f t="shared" si="67"/>
        <v>0.50826446280991733</v>
      </c>
      <c r="AF63" s="563">
        <v>1619</v>
      </c>
      <c r="AG63" s="515">
        <v>1263</v>
      </c>
      <c r="AH63" s="515">
        <v>1048</v>
      </c>
      <c r="AI63" s="515">
        <v>506</v>
      </c>
      <c r="AJ63" s="515">
        <v>463</v>
      </c>
      <c r="AK63" s="516">
        <f t="shared" si="68"/>
        <v>0.40063341250989709</v>
      </c>
      <c r="AL63" s="517">
        <f t="shared" si="69"/>
        <v>0.48282442748091603</v>
      </c>
      <c r="AM63" s="563">
        <v>1555</v>
      </c>
      <c r="AN63" s="515">
        <v>1166</v>
      </c>
      <c r="AO63" s="515">
        <v>984</v>
      </c>
      <c r="AP63" s="515">
        <v>489</v>
      </c>
      <c r="AQ63" s="515">
        <v>424</v>
      </c>
      <c r="AR63" s="516">
        <f t="shared" si="70"/>
        <v>0.41938250428816465</v>
      </c>
      <c r="AS63" s="517">
        <f t="shared" si="71"/>
        <v>0.49695121951219512</v>
      </c>
      <c r="AT63" s="563">
        <v>1567</v>
      </c>
      <c r="AU63" s="515">
        <v>1177</v>
      </c>
      <c r="AV63" s="515">
        <v>952</v>
      </c>
      <c r="AW63" s="515">
        <v>475</v>
      </c>
      <c r="AX63" s="515">
        <v>412</v>
      </c>
      <c r="AY63" s="516">
        <f t="shared" si="72"/>
        <v>0.40356839422259982</v>
      </c>
      <c r="AZ63" s="517">
        <f t="shared" si="73"/>
        <v>0.49894957983193278</v>
      </c>
      <c r="BA63" s="563">
        <v>1499</v>
      </c>
      <c r="BB63" s="515">
        <v>1101</v>
      </c>
      <c r="BC63" s="515">
        <v>971</v>
      </c>
      <c r="BD63" s="515">
        <v>451</v>
      </c>
      <c r="BE63" s="515">
        <v>397</v>
      </c>
      <c r="BF63" s="516">
        <f t="shared" si="74"/>
        <v>0.40962761126248864</v>
      </c>
      <c r="BG63" s="517">
        <f t="shared" si="75"/>
        <v>0.46446961894953653</v>
      </c>
      <c r="BH63" s="563">
        <v>1401</v>
      </c>
      <c r="BI63" s="515">
        <v>1032</v>
      </c>
      <c r="BJ63" s="515">
        <v>899</v>
      </c>
      <c r="BK63" s="515">
        <v>477</v>
      </c>
      <c r="BL63" s="515">
        <v>412</v>
      </c>
      <c r="BM63" s="516">
        <f t="shared" si="76"/>
        <v>0.46220930232558138</v>
      </c>
      <c r="BN63" s="517">
        <f t="shared" si="77"/>
        <v>0.53058954393770852</v>
      </c>
      <c r="BO63" s="563">
        <v>1183</v>
      </c>
      <c r="BP63" s="515">
        <v>925</v>
      </c>
      <c r="BQ63" s="515">
        <v>806</v>
      </c>
      <c r="BR63" s="515">
        <v>430</v>
      </c>
      <c r="BS63" s="515">
        <v>376</v>
      </c>
      <c r="BT63" s="516">
        <f t="shared" si="78"/>
        <v>0.46486486486486489</v>
      </c>
      <c r="BU63" s="517">
        <f t="shared" si="79"/>
        <v>0.53349875930521096</v>
      </c>
      <c r="BV63" s="563">
        <v>1224</v>
      </c>
      <c r="BW63" s="515">
        <v>953</v>
      </c>
      <c r="BX63" s="515">
        <v>843</v>
      </c>
      <c r="BY63" s="515">
        <v>423</v>
      </c>
      <c r="BZ63" s="515">
        <v>365</v>
      </c>
      <c r="CA63" s="516">
        <f t="shared" si="80"/>
        <v>0.44386149003147951</v>
      </c>
      <c r="CB63" s="517">
        <f t="shared" si="81"/>
        <v>0.50177935943060503</v>
      </c>
      <c r="CC63" s="563">
        <v>1301</v>
      </c>
      <c r="CD63" s="515">
        <v>1028</v>
      </c>
      <c r="CE63" s="515">
        <v>984</v>
      </c>
      <c r="CF63" s="515">
        <v>527</v>
      </c>
      <c r="CG63" s="515">
        <v>475</v>
      </c>
      <c r="CH63" s="516">
        <f t="shared" si="82"/>
        <v>0.51264591439688711</v>
      </c>
      <c r="CI63" s="517">
        <f t="shared" si="83"/>
        <v>0.53556910569105687</v>
      </c>
      <c r="CJ63" s="563">
        <v>1659</v>
      </c>
      <c r="CK63" s="515">
        <v>1255</v>
      </c>
      <c r="CL63" s="515">
        <v>1158</v>
      </c>
      <c r="CM63" s="515">
        <v>448</v>
      </c>
      <c r="CN63" s="515">
        <v>402</v>
      </c>
      <c r="CO63" s="516">
        <f t="shared" si="96"/>
        <v>0.35697211155378489</v>
      </c>
      <c r="CP63" s="516">
        <f t="shared" si="97"/>
        <v>0.38687392055267705</v>
      </c>
      <c r="CQ63" s="516">
        <v>0.39601593625498011</v>
      </c>
      <c r="CR63" s="517">
        <v>0.42918825561312607</v>
      </c>
      <c r="CS63" s="563">
        <v>1414</v>
      </c>
      <c r="CT63" s="515">
        <v>1088</v>
      </c>
      <c r="CU63" s="515">
        <v>914</v>
      </c>
      <c r="CV63" s="515">
        <v>366</v>
      </c>
      <c r="CW63" s="515">
        <v>357</v>
      </c>
      <c r="CX63" s="516">
        <f t="shared" si="86"/>
        <v>0.33639705882352944</v>
      </c>
      <c r="CY63" s="516">
        <f t="shared" si="87"/>
        <v>0.40043763676148797</v>
      </c>
      <c r="CZ63" s="516">
        <v>0.39338235294117646</v>
      </c>
      <c r="DA63" s="517">
        <v>0.46827133479212252</v>
      </c>
      <c r="DB63" s="563">
        <v>1572</v>
      </c>
      <c r="DC63" s="515">
        <v>1156</v>
      </c>
      <c r="DD63" s="515">
        <v>999</v>
      </c>
      <c r="DE63" s="515">
        <v>406</v>
      </c>
      <c r="DF63" s="515">
        <v>390</v>
      </c>
      <c r="DG63" s="516">
        <f t="shared" si="88"/>
        <v>0.35121107266435986</v>
      </c>
      <c r="DH63" s="516">
        <f t="shared" si="89"/>
        <v>0.40640640640640641</v>
      </c>
      <c r="DI63" s="516">
        <v>0.43079584775086505</v>
      </c>
      <c r="DJ63" s="517">
        <v>0.49849849849849848</v>
      </c>
      <c r="DK63" s="563">
        <v>1719</v>
      </c>
      <c r="DL63" s="515">
        <v>1278</v>
      </c>
      <c r="DM63" s="515">
        <v>1123</v>
      </c>
      <c r="DN63" s="515">
        <v>442</v>
      </c>
      <c r="DO63" s="515">
        <v>382</v>
      </c>
      <c r="DP63" s="516">
        <f t="shared" si="90"/>
        <v>0.34585289514866979</v>
      </c>
      <c r="DQ63" s="516">
        <f t="shared" si="91"/>
        <v>0.39358860195903828</v>
      </c>
      <c r="DR63" s="516">
        <v>0.40219092331768386</v>
      </c>
      <c r="DS63" s="517">
        <v>0.45770258236865541</v>
      </c>
      <c r="DT63" s="563">
        <v>1502</v>
      </c>
      <c r="DU63" s="515">
        <v>1112</v>
      </c>
      <c r="DV63" s="515">
        <v>1046</v>
      </c>
      <c r="DW63" s="515">
        <v>467</v>
      </c>
      <c r="DX63" s="515">
        <v>401</v>
      </c>
      <c r="DY63" s="516">
        <f t="shared" si="92"/>
        <v>0.41996402877697842</v>
      </c>
      <c r="DZ63" s="516">
        <f t="shared" si="93"/>
        <v>0.4464627151051625</v>
      </c>
      <c r="EA63" s="516">
        <v>0.45863309352517984</v>
      </c>
      <c r="EB63" s="517">
        <v>0.4875717017208413</v>
      </c>
    </row>
    <row r="64" spans="1:132" s="2" customFormat="1" x14ac:dyDescent="0.25">
      <c r="A64" s="551" t="s">
        <v>249</v>
      </c>
      <c r="B64" s="489" t="s">
        <v>250</v>
      </c>
      <c r="C64" s="553"/>
      <c r="D64" s="558">
        <v>1925</v>
      </c>
      <c r="E64" s="559">
        <v>1549</v>
      </c>
      <c r="F64" s="559">
        <v>1208</v>
      </c>
      <c r="G64" s="559">
        <v>601</v>
      </c>
      <c r="H64" s="560">
        <v>478</v>
      </c>
      <c r="I64" s="561">
        <f t="shared" si="28"/>
        <v>0.38799225306649449</v>
      </c>
      <c r="J64" s="562">
        <f t="shared" si="29"/>
        <v>0.49751655629139074</v>
      </c>
      <c r="K64" s="558">
        <v>2201</v>
      </c>
      <c r="L64" s="559">
        <v>1731</v>
      </c>
      <c r="M64" s="559">
        <v>1476</v>
      </c>
      <c r="N64" s="559">
        <v>661</v>
      </c>
      <c r="O64" s="560">
        <v>489</v>
      </c>
      <c r="P64" s="561">
        <f t="shared" si="64"/>
        <v>0.38186019641825536</v>
      </c>
      <c r="Q64" s="562">
        <f t="shared" si="65"/>
        <v>0.44783197831978322</v>
      </c>
      <c r="R64" s="558">
        <v>2300</v>
      </c>
      <c r="S64" s="559">
        <v>1772</v>
      </c>
      <c r="T64" s="559">
        <v>1491</v>
      </c>
      <c r="U64" s="559">
        <v>807</v>
      </c>
      <c r="V64" s="560">
        <v>585</v>
      </c>
      <c r="W64" s="561">
        <f t="shared" si="32"/>
        <v>0.4554176072234763</v>
      </c>
      <c r="X64" s="562">
        <f t="shared" si="33"/>
        <v>0.54124748490945673</v>
      </c>
      <c r="Y64" s="558">
        <v>2447</v>
      </c>
      <c r="Z64" s="559">
        <v>1924</v>
      </c>
      <c r="AA64" s="559">
        <v>1640</v>
      </c>
      <c r="AB64" s="559">
        <v>738</v>
      </c>
      <c r="AC64" s="560">
        <v>553</v>
      </c>
      <c r="AD64" s="561">
        <f t="shared" si="66"/>
        <v>0.38357588357588357</v>
      </c>
      <c r="AE64" s="562">
        <f t="shared" si="67"/>
        <v>0.45</v>
      </c>
      <c r="AF64" s="558">
        <v>2377</v>
      </c>
      <c r="AG64" s="559">
        <v>1868</v>
      </c>
      <c r="AH64" s="559">
        <v>1580</v>
      </c>
      <c r="AI64" s="559">
        <v>671</v>
      </c>
      <c r="AJ64" s="560">
        <v>514</v>
      </c>
      <c r="AK64" s="561">
        <f t="shared" si="68"/>
        <v>0.35920770877944325</v>
      </c>
      <c r="AL64" s="562">
        <f t="shared" si="69"/>
        <v>0.42468354430379746</v>
      </c>
      <c r="AM64" s="558">
        <v>2300</v>
      </c>
      <c r="AN64" s="559">
        <v>1823</v>
      </c>
      <c r="AO64" s="559">
        <v>1511</v>
      </c>
      <c r="AP64" s="559">
        <v>704</v>
      </c>
      <c r="AQ64" s="560">
        <v>507</v>
      </c>
      <c r="AR64" s="561">
        <f t="shared" si="70"/>
        <v>0.3861766319253977</v>
      </c>
      <c r="AS64" s="562">
        <f t="shared" si="71"/>
        <v>0.46591661151555264</v>
      </c>
      <c r="AT64" s="558">
        <v>2069</v>
      </c>
      <c r="AU64" s="559">
        <v>1606</v>
      </c>
      <c r="AV64" s="559">
        <v>1331</v>
      </c>
      <c r="AW64" s="559">
        <v>677</v>
      </c>
      <c r="AX64" s="560">
        <v>498</v>
      </c>
      <c r="AY64" s="561">
        <f t="shared" si="72"/>
        <v>0.42154420921544211</v>
      </c>
      <c r="AZ64" s="562">
        <f t="shared" si="73"/>
        <v>0.5086401202103682</v>
      </c>
      <c r="BA64" s="558">
        <v>1972</v>
      </c>
      <c r="BB64" s="559">
        <v>1546</v>
      </c>
      <c r="BC64" s="559">
        <v>1201</v>
      </c>
      <c r="BD64" s="559">
        <v>646</v>
      </c>
      <c r="BE64" s="560">
        <v>484</v>
      </c>
      <c r="BF64" s="561">
        <f t="shared" si="74"/>
        <v>0.41785252263906858</v>
      </c>
      <c r="BG64" s="562">
        <f t="shared" si="75"/>
        <v>0.53788509575353871</v>
      </c>
      <c r="BH64" s="558">
        <v>1774</v>
      </c>
      <c r="BI64" s="559">
        <v>1377</v>
      </c>
      <c r="BJ64" s="559">
        <v>984</v>
      </c>
      <c r="BK64" s="559">
        <v>576</v>
      </c>
      <c r="BL64" s="560">
        <v>444</v>
      </c>
      <c r="BM64" s="561">
        <f t="shared" si="76"/>
        <v>0.41830065359477125</v>
      </c>
      <c r="BN64" s="562">
        <f t="shared" si="77"/>
        <v>0.58536585365853655</v>
      </c>
      <c r="BO64" s="558">
        <v>1712</v>
      </c>
      <c r="BP64" s="559">
        <v>1280</v>
      </c>
      <c r="BQ64" s="559">
        <v>943</v>
      </c>
      <c r="BR64" s="559">
        <v>567</v>
      </c>
      <c r="BS64" s="560">
        <v>468</v>
      </c>
      <c r="BT64" s="561">
        <f t="shared" si="78"/>
        <v>0.44296875000000002</v>
      </c>
      <c r="BU64" s="562">
        <f t="shared" si="79"/>
        <v>0.60127253446447504</v>
      </c>
      <c r="BV64" s="558">
        <v>1676</v>
      </c>
      <c r="BW64" s="559">
        <v>1232</v>
      </c>
      <c r="BX64" s="559">
        <v>927</v>
      </c>
      <c r="BY64" s="559">
        <v>584</v>
      </c>
      <c r="BZ64" s="560">
        <v>478</v>
      </c>
      <c r="CA64" s="561">
        <f t="shared" si="80"/>
        <v>0.47402597402597402</v>
      </c>
      <c r="CB64" s="562">
        <f t="shared" si="81"/>
        <v>0.62998921251348439</v>
      </c>
      <c r="CC64" s="558">
        <v>1553</v>
      </c>
      <c r="CD64" s="559">
        <v>1132</v>
      </c>
      <c r="CE64" s="559">
        <v>1092</v>
      </c>
      <c r="CF64" s="559">
        <v>629</v>
      </c>
      <c r="CG64" s="560">
        <v>473</v>
      </c>
      <c r="CH64" s="561">
        <f t="shared" si="82"/>
        <v>0.55565371024734977</v>
      </c>
      <c r="CI64" s="562">
        <f t="shared" si="83"/>
        <v>0.57600732600732596</v>
      </c>
      <c r="CJ64" s="558">
        <v>1374</v>
      </c>
      <c r="CK64" s="559">
        <v>919</v>
      </c>
      <c r="CL64" s="559">
        <v>796</v>
      </c>
      <c r="CM64" s="559">
        <v>421</v>
      </c>
      <c r="CN64" s="560">
        <v>340</v>
      </c>
      <c r="CO64" s="561">
        <f t="shared" si="96"/>
        <v>0.45810663764961917</v>
      </c>
      <c r="CP64" s="664">
        <f t="shared" si="97"/>
        <v>0.52889447236180909</v>
      </c>
      <c r="CQ64" s="561">
        <v>0.45810663764961917</v>
      </c>
      <c r="CR64" s="562">
        <v>0.52889447236180909</v>
      </c>
      <c r="CS64" s="558">
        <v>1666</v>
      </c>
      <c r="CT64" s="559">
        <v>1061</v>
      </c>
      <c r="CU64" s="559">
        <v>955</v>
      </c>
      <c r="CV64" s="559">
        <v>615</v>
      </c>
      <c r="CW64" s="560">
        <v>477</v>
      </c>
      <c r="CX64" s="561">
        <f t="shared" si="86"/>
        <v>0.57964184731385482</v>
      </c>
      <c r="CY64" s="664">
        <f t="shared" si="87"/>
        <v>0.64397905759162299</v>
      </c>
      <c r="CZ64" s="561">
        <v>0.6757775683317625</v>
      </c>
      <c r="DA64" s="562">
        <v>0.75078534031413613</v>
      </c>
      <c r="DB64" s="558">
        <v>1789</v>
      </c>
      <c r="DC64" s="559">
        <v>1076</v>
      </c>
      <c r="DD64" s="559">
        <v>969</v>
      </c>
      <c r="DE64" s="559">
        <v>650</v>
      </c>
      <c r="DF64" s="560">
        <v>548</v>
      </c>
      <c r="DG64" s="561">
        <f t="shared" si="88"/>
        <v>0.60408921933085502</v>
      </c>
      <c r="DH64" s="664">
        <f t="shared" si="89"/>
        <v>0.6707946336429309</v>
      </c>
      <c r="DI64" s="561">
        <v>0.69330855018587356</v>
      </c>
      <c r="DJ64" s="562">
        <v>0.76986584107327138</v>
      </c>
      <c r="DK64" s="558">
        <v>2053</v>
      </c>
      <c r="DL64" s="559">
        <v>1200</v>
      </c>
      <c r="DM64" s="559">
        <v>1061</v>
      </c>
      <c r="DN64" s="559">
        <v>711</v>
      </c>
      <c r="DO64" s="560">
        <v>568</v>
      </c>
      <c r="DP64" s="561">
        <f t="shared" si="90"/>
        <v>0.59250000000000003</v>
      </c>
      <c r="DQ64" s="664">
        <f t="shared" si="91"/>
        <v>0.67012252591894439</v>
      </c>
      <c r="DR64" s="561">
        <v>0.68166666666666664</v>
      </c>
      <c r="DS64" s="562">
        <v>0.77097078228086713</v>
      </c>
      <c r="DT64" s="558">
        <v>2413</v>
      </c>
      <c r="DU64" s="559">
        <v>1341</v>
      </c>
      <c r="DV64" s="559">
        <v>1202</v>
      </c>
      <c r="DW64" s="559">
        <v>723</v>
      </c>
      <c r="DX64" s="560">
        <v>581</v>
      </c>
      <c r="DY64" s="561">
        <f t="shared" si="92"/>
        <v>0.53914988814317677</v>
      </c>
      <c r="DZ64" s="664">
        <f t="shared" si="93"/>
        <v>0.6014975041597338</v>
      </c>
      <c r="EA64" s="561">
        <v>0.63683818046234153</v>
      </c>
      <c r="EB64" s="562">
        <v>0.71048252911813647</v>
      </c>
    </row>
    <row r="65" spans="1:132" s="2" customFormat="1" x14ac:dyDescent="0.25">
      <c r="A65" s="554" t="s">
        <v>249</v>
      </c>
      <c r="B65" s="497" t="s">
        <v>251</v>
      </c>
      <c r="C65" s="556" t="s">
        <v>252</v>
      </c>
      <c r="D65" s="499">
        <v>647</v>
      </c>
      <c r="E65" s="500">
        <v>647</v>
      </c>
      <c r="F65" s="500">
        <v>534</v>
      </c>
      <c r="G65" s="500">
        <v>164</v>
      </c>
      <c r="H65" s="500">
        <v>140</v>
      </c>
      <c r="I65" s="501">
        <f t="shared" si="28"/>
        <v>0.25347758887171562</v>
      </c>
      <c r="J65" s="502">
        <f t="shared" si="29"/>
        <v>0.30711610486891383</v>
      </c>
      <c r="K65" s="499">
        <v>690</v>
      </c>
      <c r="L65" s="500">
        <v>690</v>
      </c>
      <c r="M65" s="500">
        <v>582</v>
      </c>
      <c r="N65" s="500">
        <v>171</v>
      </c>
      <c r="O65" s="500">
        <v>137</v>
      </c>
      <c r="P65" s="501">
        <f t="shared" si="64"/>
        <v>0.24782608695652175</v>
      </c>
      <c r="Q65" s="502">
        <f t="shared" si="65"/>
        <v>0.29381443298969073</v>
      </c>
      <c r="R65" s="499">
        <v>744</v>
      </c>
      <c r="S65" s="500">
        <v>744</v>
      </c>
      <c r="T65" s="500">
        <v>568</v>
      </c>
      <c r="U65" s="500">
        <v>163</v>
      </c>
      <c r="V65" s="500">
        <v>140</v>
      </c>
      <c r="W65" s="501">
        <f t="shared" si="32"/>
        <v>0.21908602150537634</v>
      </c>
      <c r="X65" s="502">
        <f t="shared" si="33"/>
        <v>0.2869718309859155</v>
      </c>
      <c r="Y65" s="499">
        <v>696</v>
      </c>
      <c r="Z65" s="500">
        <v>696</v>
      </c>
      <c r="AA65" s="500">
        <v>520</v>
      </c>
      <c r="AB65" s="500">
        <v>130</v>
      </c>
      <c r="AC65" s="500">
        <v>112</v>
      </c>
      <c r="AD65" s="501">
        <f t="shared" si="66"/>
        <v>0.18678160919540229</v>
      </c>
      <c r="AE65" s="502">
        <f t="shared" si="67"/>
        <v>0.25</v>
      </c>
      <c r="AF65" s="499">
        <v>696</v>
      </c>
      <c r="AG65" s="500">
        <v>692</v>
      </c>
      <c r="AH65" s="500">
        <v>532</v>
      </c>
      <c r="AI65" s="500">
        <v>121</v>
      </c>
      <c r="AJ65" s="500">
        <v>107</v>
      </c>
      <c r="AK65" s="501">
        <f t="shared" si="68"/>
        <v>0.17485549132947978</v>
      </c>
      <c r="AL65" s="502">
        <f t="shared" si="69"/>
        <v>0.22744360902255639</v>
      </c>
      <c r="AM65" s="499">
        <v>681</v>
      </c>
      <c r="AN65" s="500">
        <v>679</v>
      </c>
      <c r="AO65" s="500">
        <v>497</v>
      </c>
      <c r="AP65" s="500">
        <v>138</v>
      </c>
      <c r="AQ65" s="500">
        <v>114</v>
      </c>
      <c r="AR65" s="501">
        <f t="shared" si="70"/>
        <v>0.203240058910162</v>
      </c>
      <c r="AS65" s="502">
        <f t="shared" si="71"/>
        <v>0.27766599597585512</v>
      </c>
      <c r="AT65" s="499">
        <v>610</v>
      </c>
      <c r="AU65" s="500">
        <v>610</v>
      </c>
      <c r="AV65" s="500">
        <v>457</v>
      </c>
      <c r="AW65" s="500">
        <v>122</v>
      </c>
      <c r="AX65" s="500">
        <v>103</v>
      </c>
      <c r="AY65" s="501">
        <f t="shared" si="72"/>
        <v>0.2</v>
      </c>
      <c r="AZ65" s="502">
        <f t="shared" si="73"/>
        <v>0.26695842450765866</v>
      </c>
      <c r="BA65" s="499">
        <v>602</v>
      </c>
      <c r="BB65" s="500">
        <v>600</v>
      </c>
      <c r="BC65" s="500">
        <v>448</v>
      </c>
      <c r="BD65" s="500">
        <v>125</v>
      </c>
      <c r="BE65" s="500">
        <v>102</v>
      </c>
      <c r="BF65" s="501">
        <f t="shared" si="74"/>
        <v>0.20833333333333334</v>
      </c>
      <c r="BG65" s="502">
        <f t="shared" si="75"/>
        <v>0.27901785714285715</v>
      </c>
      <c r="BH65" s="499">
        <v>609</v>
      </c>
      <c r="BI65" s="500">
        <v>609</v>
      </c>
      <c r="BJ65" s="500">
        <v>401</v>
      </c>
      <c r="BK65" s="500">
        <v>123</v>
      </c>
      <c r="BL65" s="500">
        <v>103</v>
      </c>
      <c r="BM65" s="501">
        <f t="shared" si="76"/>
        <v>0.2019704433497537</v>
      </c>
      <c r="BN65" s="502">
        <f t="shared" si="77"/>
        <v>0.30673316708229426</v>
      </c>
      <c r="BO65" s="499">
        <v>606</v>
      </c>
      <c r="BP65" s="500">
        <v>601</v>
      </c>
      <c r="BQ65" s="500">
        <v>433</v>
      </c>
      <c r="BR65" s="500">
        <v>122</v>
      </c>
      <c r="BS65" s="500">
        <v>110</v>
      </c>
      <c r="BT65" s="501">
        <f t="shared" si="78"/>
        <v>0.20299500831946754</v>
      </c>
      <c r="BU65" s="502">
        <f t="shared" si="79"/>
        <v>0.28175519630484991</v>
      </c>
      <c r="BV65" s="499">
        <v>582</v>
      </c>
      <c r="BW65" s="500">
        <v>579</v>
      </c>
      <c r="BX65" s="500">
        <v>421</v>
      </c>
      <c r="BY65" s="500">
        <v>127</v>
      </c>
      <c r="BZ65" s="500">
        <v>109</v>
      </c>
      <c r="CA65" s="501">
        <f t="shared" si="80"/>
        <v>0.21934369602763384</v>
      </c>
      <c r="CB65" s="502">
        <f t="shared" si="81"/>
        <v>0.30166270783847982</v>
      </c>
      <c r="CC65" s="499">
        <v>550</v>
      </c>
      <c r="CD65" s="500">
        <v>548</v>
      </c>
      <c r="CE65" s="500">
        <v>548</v>
      </c>
      <c r="CF65" s="500">
        <v>148</v>
      </c>
      <c r="CG65" s="500">
        <v>109</v>
      </c>
      <c r="CH65" s="501">
        <f t="shared" si="82"/>
        <v>0.27007299270072993</v>
      </c>
      <c r="CI65" s="502">
        <f t="shared" si="83"/>
        <v>0.27007299270072993</v>
      </c>
      <c r="CJ65" s="499">
        <v>707</v>
      </c>
      <c r="CK65" s="500">
        <v>698</v>
      </c>
      <c r="CL65" s="500">
        <v>592</v>
      </c>
      <c r="CM65" s="500">
        <v>176</v>
      </c>
      <c r="CN65" s="500">
        <v>148</v>
      </c>
      <c r="CO65" s="501">
        <f t="shared" si="96"/>
        <v>0.25214899713467048</v>
      </c>
      <c r="CP65" s="501">
        <f t="shared" si="97"/>
        <v>0.29729729729729731</v>
      </c>
      <c r="CQ65" s="501">
        <v>0.25214899713467048</v>
      </c>
      <c r="CR65" s="502">
        <v>0.29729729729729731</v>
      </c>
      <c r="CS65" s="499">
        <v>772</v>
      </c>
      <c r="CT65" s="500">
        <v>703</v>
      </c>
      <c r="CU65" s="500">
        <v>559</v>
      </c>
      <c r="CV65" s="500">
        <v>266</v>
      </c>
      <c r="CW65" s="500">
        <v>220</v>
      </c>
      <c r="CX65" s="501">
        <f t="shared" si="86"/>
        <v>0.3783783783783784</v>
      </c>
      <c r="CY65" s="501">
        <f t="shared" si="87"/>
        <v>0.47584973166368516</v>
      </c>
      <c r="CZ65" s="501">
        <v>0.3783783783783784</v>
      </c>
      <c r="DA65" s="502">
        <v>0.47584973166368516</v>
      </c>
      <c r="DB65" s="499">
        <v>816</v>
      </c>
      <c r="DC65" s="500">
        <v>695</v>
      </c>
      <c r="DD65" s="500">
        <v>564</v>
      </c>
      <c r="DE65" s="500">
        <v>310</v>
      </c>
      <c r="DF65" s="500">
        <v>237</v>
      </c>
      <c r="DG65" s="501">
        <f t="shared" si="88"/>
        <v>0.4460431654676259</v>
      </c>
      <c r="DH65" s="501">
        <f t="shared" si="89"/>
        <v>0.54964539007092195</v>
      </c>
      <c r="DI65" s="501">
        <v>0.4460431654676259</v>
      </c>
      <c r="DJ65" s="502">
        <v>0.54964539007092195</v>
      </c>
      <c r="DK65" s="499">
        <v>917</v>
      </c>
      <c r="DL65" s="500">
        <v>777</v>
      </c>
      <c r="DM65" s="500">
        <v>614</v>
      </c>
      <c r="DN65" s="500">
        <v>325</v>
      </c>
      <c r="DO65" s="500">
        <v>259</v>
      </c>
      <c r="DP65" s="501">
        <f t="shared" si="90"/>
        <v>0.41827541827541825</v>
      </c>
      <c r="DQ65" s="501">
        <f t="shared" si="91"/>
        <v>0.52931596091205213</v>
      </c>
      <c r="DR65" s="501">
        <v>0.41827541827541825</v>
      </c>
      <c r="DS65" s="502">
        <v>0.52931596091205213</v>
      </c>
      <c r="DT65" s="499">
        <v>1040</v>
      </c>
      <c r="DU65" s="500">
        <v>869</v>
      </c>
      <c r="DV65" s="500">
        <v>694</v>
      </c>
      <c r="DW65" s="500">
        <v>315</v>
      </c>
      <c r="DX65" s="500">
        <v>238</v>
      </c>
      <c r="DY65" s="501">
        <f t="shared" si="92"/>
        <v>0.36248561565017262</v>
      </c>
      <c r="DZ65" s="501">
        <f t="shared" si="93"/>
        <v>0.45389048991354469</v>
      </c>
      <c r="EA65" s="501">
        <v>0.36248561565017262</v>
      </c>
      <c r="EB65" s="502">
        <v>0.45389048991354469</v>
      </c>
    </row>
    <row r="66" spans="1:132" s="2" customFormat="1" x14ac:dyDescent="0.25">
      <c r="A66" s="503" t="s">
        <v>249</v>
      </c>
      <c r="B66" s="504" t="s">
        <v>253</v>
      </c>
      <c r="C66" s="505" t="s">
        <v>254</v>
      </c>
      <c r="D66" s="506">
        <v>601</v>
      </c>
      <c r="E66" s="507">
        <v>555</v>
      </c>
      <c r="F66" s="507">
        <v>474</v>
      </c>
      <c r="G66" s="507">
        <v>368</v>
      </c>
      <c r="H66" s="507">
        <v>225</v>
      </c>
      <c r="I66" s="508">
        <f t="shared" si="28"/>
        <v>0.66306306306306306</v>
      </c>
      <c r="J66" s="509">
        <f t="shared" si="29"/>
        <v>0.77637130801687759</v>
      </c>
      <c r="K66" s="506">
        <v>788</v>
      </c>
      <c r="L66" s="507">
        <v>701</v>
      </c>
      <c r="M66" s="507">
        <v>661</v>
      </c>
      <c r="N66" s="507">
        <v>400</v>
      </c>
      <c r="O66" s="507">
        <v>222</v>
      </c>
      <c r="P66" s="508">
        <f t="shared" si="64"/>
        <v>0.57061340941512129</v>
      </c>
      <c r="Q66" s="509">
        <f t="shared" si="65"/>
        <v>0.60514372163388808</v>
      </c>
      <c r="R66" s="506">
        <v>825</v>
      </c>
      <c r="S66" s="507">
        <v>736</v>
      </c>
      <c r="T66" s="507">
        <v>691</v>
      </c>
      <c r="U66" s="507">
        <v>510</v>
      </c>
      <c r="V66" s="507">
        <v>329</v>
      </c>
      <c r="W66" s="508">
        <f t="shared" si="32"/>
        <v>0.69293478260869568</v>
      </c>
      <c r="X66" s="509">
        <f t="shared" si="33"/>
        <v>0.73806078147612153</v>
      </c>
      <c r="Y66" s="506">
        <v>995</v>
      </c>
      <c r="Z66" s="507">
        <v>873</v>
      </c>
      <c r="AA66" s="507">
        <v>799</v>
      </c>
      <c r="AB66" s="507">
        <v>476</v>
      </c>
      <c r="AC66" s="507">
        <v>305</v>
      </c>
      <c r="AD66" s="508">
        <f t="shared" si="66"/>
        <v>0.54524627720504004</v>
      </c>
      <c r="AE66" s="509">
        <f t="shared" si="67"/>
        <v>0.5957446808510638</v>
      </c>
      <c r="AF66" s="506">
        <v>949</v>
      </c>
      <c r="AG66" s="507">
        <v>794</v>
      </c>
      <c r="AH66" s="507">
        <v>718</v>
      </c>
      <c r="AI66" s="507">
        <v>430</v>
      </c>
      <c r="AJ66" s="507">
        <v>276</v>
      </c>
      <c r="AK66" s="508">
        <f t="shared" si="68"/>
        <v>0.54156171284634758</v>
      </c>
      <c r="AL66" s="509">
        <f t="shared" si="69"/>
        <v>0.59888579387186625</v>
      </c>
      <c r="AM66" s="506">
        <v>926</v>
      </c>
      <c r="AN66" s="507">
        <v>776</v>
      </c>
      <c r="AO66" s="507">
        <v>675</v>
      </c>
      <c r="AP66" s="507">
        <v>415</v>
      </c>
      <c r="AQ66" s="507">
        <v>272</v>
      </c>
      <c r="AR66" s="508">
        <f t="shared" si="70"/>
        <v>0.53479381443298968</v>
      </c>
      <c r="AS66" s="509">
        <f t="shared" si="71"/>
        <v>0.61481481481481481</v>
      </c>
      <c r="AT66" s="506">
        <v>854</v>
      </c>
      <c r="AU66" s="507">
        <v>731</v>
      </c>
      <c r="AV66" s="507">
        <v>637</v>
      </c>
      <c r="AW66" s="507">
        <v>409</v>
      </c>
      <c r="AX66" s="507">
        <v>247</v>
      </c>
      <c r="AY66" s="508">
        <f t="shared" si="72"/>
        <v>0.55950752393980852</v>
      </c>
      <c r="AZ66" s="509">
        <f t="shared" si="73"/>
        <v>0.64207221350078492</v>
      </c>
      <c r="BA66" s="506">
        <v>831</v>
      </c>
      <c r="BB66" s="507">
        <v>727</v>
      </c>
      <c r="BC66" s="507">
        <v>629</v>
      </c>
      <c r="BD66" s="507">
        <v>406</v>
      </c>
      <c r="BE66" s="507">
        <v>251</v>
      </c>
      <c r="BF66" s="508">
        <f t="shared" si="74"/>
        <v>0.55845942228335621</v>
      </c>
      <c r="BG66" s="509">
        <f t="shared" si="75"/>
        <v>0.64546899841017491</v>
      </c>
      <c r="BH66" s="506">
        <v>679</v>
      </c>
      <c r="BI66" s="507">
        <v>576</v>
      </c>
      <c r="BJ66" s="507">
        <v>440</v>
      </c>
      <c r="BK66" s="507">
        <v>323</v>
      </c>
      <c r="BL66" s="507">
        <v>200</v>
      </c>
      <c r="BM66" s="508">
        <f t="shared" si="76"/>
        <v>0.56076388888888884</v>
      </c>
      <c r="BN66" s="509">
        <f t="shared" si="77"/>
        <v>0.73409090909090913</v>
      </c>
      <c r="BO66" s="506">
        <v>662</v>
      </c>
      <c r="BP66" s="507">
        <v>563</v>
      </c>
      <c r="BQ66" s="507">
        <v>457</v>
      </c>
      <c r="BR66" s="507">
        <v>348</v>
      </c>
      <c r="BS66" s="507">
        <v>226</v>
      </c>
      <c r="BT66" s="508">
        <f t="shared" si="78"/>
        <v>0.61811722912966249</v>
      </c>
      <c r="BU66" s="509">
        <f t="shared" si="79"/>
        <v>0.76148796498905913</v>
      </c>
      <c r="BV66" s="506">
        <v>658</v>
      </c>
      <c r="BW66" s="507">
        <v>550</v>
      </c>
      <c r="BX66" s="507">
        <v>456</v>
      </c>
      <c r="BY66" s="507">
        <v>347</v>
      </c>
      <c r="BZ66" s="507">
        <v>224</v>
      </c>
      <c r="CA66" s="508">
        <f t="shared" si="80"/>
        <v>0.63090909090909086</v>
      </c>
      <c r="CB66" s="509">
        <f t="shared" si="81"/>
        <v>0.76096491228070173</v>
      </c>
      <c r="CC66" s="506">
        <v>661</v>
      </c>
      <c r="CD66" s="507">
        <v>571</v>
      </c>
      <c r="CE66" s="507">
        <v>570</v>
      </c>
      <c r="CF66" s="507">
        <v>408</v>
      </c>
      <c r="CG66" s="507">
        <v>237</v>
      </c>
      <c r="CH66" s="508">
        <f t="shared" si="82"/>
        <v>0.71453590192644478</v>
      </c>
      <c r="CI66" s="509">
        <f t="shared" si="83"/>
        <v>0.71578947368421053</v>
      </c>
      <c r="CJ66" s="506">
        <v>667</v>
      </c>
      <c r="CK66" s="507">
        <v>572</v>
      </c>
      <c r="CL66" s="507">
        <v>497</v>
      </c>
      <c r="CM66" s="507">
        <v>348</v>
      </c>
      <c r="CN66" s="507">
        <v>192</v>
      </c>
      <c r="CO66" s="508">
        <f t="shared" si="96"/>
        <v>0.60839160839160844</v>
      </c>
      <c r="CP66" s="508">
        <f t="shared" si="97"/>
        <v>0.7002012072434608</v>
      </c>
      <c r="CQ66" s="508">
        <v>0.60839160839160844</v>
      </c>
      <c r="CR66" s="509">
        <v>0.7002012072434608</v>
      </c>
      <c r="CS66" s="506">
        <v>894</v>
      </c>
      <c r="CT66" s="507">
        <v>705</v>
      </c>
      <c r="CU66" s="507">
        <v>666</v>
      </c>
      <c r="CV66" s="507">
        <v>460</v>
      </c>
      <c r="CW66" s="507">
        <v>259</v>
      </c>
      <c r="CX66" s="508">
        <f t="shared" si="86"/>
        <v>0.65248226950354615</v>
      </c>
      <c r="CY66" s="508">
        <f t="shared" si="87"/>
        <v>0.69069069069069067</v>
      </c>
      <c r="CZ66" s="508">
        <v>0.8113475177304964</v>
      </c>
      <c r="DA66" s="509">
        <v>0.85885885885885882</v>
      </c>
      <c r="DB66" s="506">
        <v>973</v>
      </c>
      <c r="DC66" s="507">
        <v>770</v>
      </c>
      <c r="DD66" s="507">
        <v>728</v>
      </c>
      <c r="DE66" s="507">
        <v>501</v>
      </c>
      <c r="DF66" s="507">
        <v>312</v>
      </c>
      <c r="DG66" s="508">
        <f t="shared" si="88"/>
        <v>0.6506493506493507</v>
      </c>
      <c r="DH66" s="508">
        <f t="shared" si="89"/>
        <v>0.68818681318681318</v>
      </c>
      <c r="DI66" s="508">
        <v>0.78701298701298705</v>
      </c>
      <c r="DJ66" s="509">
        <v>0.83241758241758246</v>
      </c>
      <c r="DK66" s="506">
        <v>1136</v>
      </c>
      <c r="DL66" s="507">
        <v>849</v>
      </c>
      <c r="DM66" s="507">
        <v>800</v>
      </c>
      <c r="DN66" s="507">
        <v>531</v>
      </c>
      <c r="DO66" s="507">
        <v>312</v>
      </c>
      <c r="DP66" s="508">
        <f t="shared" si="90"/>
        <v>0.62544169611307421</v>
      </c>
      <c r="DQ66" s="508">
        <f t="shared" si="91"/>
        <v>0.66374999999999995</v>
      </c>
      <c r="DR66" s="508">
        <v>0.7667844522968198</v>
      </c>
      <c r="DS66" s="509">
        <v>0.81374999999999997</v>
      </c>
      <c r="DT66" s="506">
        <v>1373</v>
      </c>
      <c r="DU66" s="507">
        <v>992</v>
      </c>
      <c r="DV66" s="507">
        <v>921</v>
      </c>
      <c r="DW66" s="507">
        <v>569</v>
      </c>
      <c r="DX66" s="507">
        <v>343</v>
      </c>
      <c r="DY66" s="508">
        <f t="shared" si="92"/>
        <v>0.57358870967741937</v>
      </c>
      <c r="DZ66" s="508">
        <f t="shared" si="93"/>
        <v>0.61780673181324652</v>
      </c>
      <c r="EA66" s="508">
        <v>0.719758064516129</v>
      </c>
      <c r="EB66" s="509">
        <v>0.77524429967426711</v>
      </c>
    </row>
    <row r="67" spans="1:132" s="2" customFormat="1" x14ac:dyDescent="0.25">
      <c r="A67" s="511" t="s">
        <v>249</v>
      </c>
      <c r="B67" s="512" t="s">
        <v>255</v>
      </c>
      <c r="C67" s="513" t="s">
        <v>256</v>
      </c>
      <c r="D67" s="514">
        <v>677</v>
      </c>
      <c r="E67" s="515">
        <v>677</v>
      </c>
      <c r="F67" s="515">
        <v>480</v>
      </c>
      <c r="G67" s="515">
        <v>164</v>
      </c>
      <c r="H67" s="515">
        <v>116</v>
      </c>
      <c r="I67" s="516">
        <f t="shared" si="28"/>
        <v>0.24224519940915806</v>
      </c>
      <c r="J67" s="517">
        <f t="shared" si="29"/>
        <v>0.34166666666666667</v>
      </c>
      <c r="K67" s="514">
        <v>723</v>
      </c>
      <c r="L67" s="515">
        <v>723</v>
      </c>
      <c r="M67" s="515">
        <v>543</v>
      </c>
      <c r="N67" s="515">
        <v>189</v>
      </c>
      <c r="O67" s="515">
        <v>131</v>
      </c>
      <c r="P67" s="516">
        <f t="shared" si="64"/>
        <v>0.26141078838174275</v>
      </c>
      <c r="Q67" s="517">
        <f t="shared" si="65"/>
        <v>0.34806629834254144</v>
      </c>
      <c r="R67" s="514">
        <v>731</v>
      </c>
      <c r="S67" s="515">
        <v>731</v>
      </c>
      <c r="T67" s="515">
        <v>577</v>
      </c>
      <c r="U67" s="515">
        <v>229</v>
      </c>
      <c r="V67" s="515">
        <v>119</v>
      </c>
      <c r="W67" s="516">
        <f t="shared" si="32"/>
        <v>0.31326949384404923</v>
      </c>
      <c r="X67" s="517">
        <f t="shared" si="33"/>
        <v>0.39688041594454071</v>
      </c>
      <c r="Y67" s="514">
        <v>756</v>
      </c>
      <c r="Z67" s="515">
        <v>756</v>
      </c>
      <c r="AA67" s="515">
        <v>646</v>
      </c>
      <c r="AB67" s="515">
        <v>210</v>
      </c>
      <c r="AC67" s="515">
        <v>136</v>
      </c>
      <c r="AD67" s="516">
        <f t="shared" si="66"/>
        <v>0.27777777777777779</v>
      </c>
      <c r="AE67" s="517">
        <f t="shared" si="67"/>
        <v>0.32507739938080493</v>
      </c>
      <c r="AF67" s="514">
        <v>732</v>
      </c>
      <c r="AG67" s="515">
        <v>732</v>
      </c>
      <c r="AH67" s="515">
        <v>602</v>
      </c>
      <c r="AI67" s="515">
        <v>184</v>
      </c>
      <c r="AJ67" s="515">
        <v>132</v>
      </c>
      <c r="AK67" s="516">
        <f t="shared" si="68"/>
        <v>0.25136612021857924</v>
      </c>
      <c r="AL67" s="517">
        <f t="shared" si="69"/>
        <v>0.30564784053156147</v>
      </c>
      <c r="AM67" s="514">
        <v>693</v>
      </c>
      <c r="AN67" s="515">
        <v>693</v>
      </c>
      <c r="AO67" s="515">
        <v>588</v>
      </c>
      <c r="AP67" s="515">
        <v>212</v>
      </c>
      <c r="AQ67" s="515">
        <v>124</v>
      </c>
      <c r="AR67" s="516">
        <f t="shared" si="70"/>
        <v>0.30591630591630592</v>
      </c>
      <c r="AS67" s="517">
        <f t="shared" si="71"/>
        <v>0.36054421768707484</v>
      </c>
      <c r="AT67" s="514">
        <v>605</v>
      </c>
      <c r="AU67" s="515">
        <v>605</v>
      </c>
      <c r="AV67" s="515">
        <v>500</v>
      </c>
      <c r="AW67" s="515">
        <v>212</v>
      </c>
      <c r="AX67" s="515">
        <v>151</v>
      </c>
      <c r="AY67" s="516">
        <f t="shared" si="72"/>
        <v>0.35041322314049589</v>
      </c>
      <c r="AZ67" s="517">
        <f t="shared" si="73"/>
        <v>0.42399999999999999</v>
      </c>
      <c r="BA67" s="514">
        <v>539</v>
      </c>
      <c r="BB67" s="515">
        <v>539</v>
      </c>
      <c r="BC67" s="515">
        <v>365</v>
      </c>
      <c r="BD67" s="515">
        <v>176</v>
      </c>
      <c r="BE67" s="515">
        <v>133</v>
      </c>
      <c r="BF67" s="516">
        <f t="shared" si="74"/>
        <v>0.32653061224489793</v>
      </c>
      <c r="BG67" s="517">
        <f t="shared" si="75"/>
        <v>0.48219178082191783</v>
      </c>
      <c r="BH67" s="514">
        <v>486</v>
      </c>
      <c r="BI67" s="515">
        <v>486</v>
      </c>
      <c r="BJ67" s="515">
        <v>350</v>
      </c>
      <c r="BK67" s="515">
        <v>203</v>
      </c>
      <c r="BL67" s="515">
        <v>142</v>
      </c>
      <c r="BM67" s="516">
        <f t="shared" si="76"/>
        <v>0.41769547325102879</v>
      </c>
      <c r="BN67" s="517">
        <f t="shared" si="77"/>
        <v>0.57999999999999996</v>
      </c>
      <c r="BO67" s="514">
        <v>444</v>
      </c>
      <c r="BP67" s="515">
        <v>444</v>
      </c>
      <c r="BQ67" s="515">
        <v>289</v>
      </c>
      <c r="BR67" s="515">
        <v>169</v>
      </c>
      <c r="BS67" s="515">
        <v>134</v>
      </c>
      <c r="BT67" s="516">
        <f t="shared" si="78"/>
        <v>0.38063063063063063</v>
      </c>
      <c r="BU67" s="517">
        <f t="shared" si="79"/>
        <v>0.58477508650519028</v>
      </c>
      <c r="BV67" s="514">
        <v>436</v>
      </c>
      <c r="BW67" s="515">
        <v>435</v>
      </c>
      <c r="BX67" s="515">
        <v>297</v>
      </c>
      <c r="BY67" s="515">
        <v>194</v>
      </c>
      <c r="BZ67" s="515">
        <v>145</v>
      </c>
      <c r="CA67" s="516">
        <f t="shared" si="80"/>
        <v>0.4459770114942529</v>
      </c>
      <c r="CB67" s="517">
        <f t="shared" si="81"/>
        <v>0.65319865319865322</v>
      </c>
      <c r="CC67" s="514">
        <v>342</v>
      </c>
      <c r="CD67" s="515">
        <v>342</v>
      </c>
      <c r="CE67" s="515">
        <v>297</v>
      </c>
      <c r="CF67" s="515">
        <v>161</v>
      </c>
      <c r="CG67" s="515">
        <v>128</v>
      </c>
      <c r="CH67" s="516">
        <f t="shared" si="82"/>
        <v>0.47076023391812866</v>
      </c>
      <c r="CI67" s="517">
        <f t="shared" si="83"/>
        <v>0.54208754208754206</v>
      </c>
      <c r="CJ67" s="514" t="s">
        <v>67</v>
      </c>
      <c r="CK67" s="515" t="s">
        <v>67</v>
      </c>
      <c r="CL67" s="515" t="s">
        <v>67</v>
      </c>
      <c r="CM67" s="515" t="s">
        <v>67</v>
      </c>
      <c r="CN67" s="515" t="s">
        <v>67</v>
      </c>
      <c r="CO67" s="516" t="s">
        <v>67</v>
      </c>
      <c r="CP67" s="516" t="s">
        <v>67</v>
      </c>
      <c r="CQ67" s="516" t="s">
        <v>67</v>
      </c>
      <c r="CR67" s="517" t="s">
        <v>67</v>
      </c>
      <c r="CS67" s="514" t="s">
        <v>67</v>
      </c>
      <c r="CT67" s="515" t="s">
        <v>67</v>
      </c>
      <c r="CU67" s="515" t="s">
        <v>67</v>
      </c>
      <c r="CV67" s="515" t="s">
        <v>67</v>
      </c>
      <c r="CW67" s="515" t="s">
        <v>67</v>
      </c>
      <c r="CX67" s="516" t="s">
        <v>67</v>
      </c>
      <c r="CY67" s="516" t="s">
        <v>67</v>
      </c>
      <c r="CZ67" s="516" t="s">
        <v>67</v>
      </c>
      <c r="DA67" s="517" t="s">
        <v>67</v>
      </c>
      <c r="DB67" s="514" t="s">
        <v>67</v>
      </c>
      <c r="DC67" s="515" t="s">
        <v>67</v>
      </c>
      <c r="DD67" s="515" t="s">
        <v>67</v>
      </c>
      <c r="DE67" s="515" t="s">
        <v>67</v>
      </c>
      <c r="DF67" s="515" t="s">
        <v>67</v>
      </c>
      <c r="DG67" s="516" t="s">
        <v>67</v>
      </c>
      <c r="DH67" s="516" t="s">
        <v>67</v>
      </c>
      <c r="DI67" s="516" t="s">
        <v>67</v>
      </c>
      <c r="DJ67" s="517" t="s">
        <v>67</v>
      </c>
      <c r="DK67" s="514" t="s">
        <v>67</v>
      </c>
      <c r="DL67" s="515" t="s">
        <v>67</v>
      </c>
      <c r="DM67" s="515" t="s">
        <v>67</v>
      </c>
      <c r="DN67" s="515" t="s">
        <v>67</v>
      </c>
      <c r="DO67" s="515" t="s">
        <v>67</v>
      </c>
      <c r="DP67" s="516" t="s">
        <v>67</v>
      </c>
      <c r="DQ67" s="516" t="s">
        <v>67</v>
      </c>
      <c r="DR67" s="516" t="s">
        <v>67</v>
      </c>
      <c r="DS67" s="517" t="s">
        <v>67</v>
      </c>
      <c r="DT67" s="514" t="s">
        <v>67</v>
      </c>
      <c r="DU67" s="515" t="s">
        <v>67</v>
      </c>
      <c r="DV67" s="515" t="s">
        <v>67</v>
      </c>
      <c r="DW67" s="515" t="s">
        <v>67</v>
      </c>
      <c r="DX67" s="515" t="s">
        <v>67</v>
      </c>
      <c r="DY67" s="516" t="s">
        <v>67</v>
      </c>
      <c r="DZ67" s="516" t="s">
        <v>67</v>
      </c>
      <c r="EA67" s="516" t="s">
        <v>67</v>
      </c>
      <c r="EB67" s="517" t="s">
        <v>67</v>
      </c>
    </row>
    <row r="68" spans="1:132" s="2" customFormat="1" x14ac:dyDescent="0.25">
      <c r="A68" s="551" t="s">
        <v>555</v>
      </c>
      <c r="B68" s="489" t="s">
        <v>257</v>
      </c>
      <c r="C68" s="553"/>
      <c r="D68" s="558">
        <v>11109</v>
      </c>
      <c r="E68" s="559">
        <v>8407</v>
      </c>
      <c r="F68" s="559">
        <v>7729</v>
      </c>
      <c r="G68" s="559">
        <v>3192</v>
      </c>
      <c r="H68" s="560">
        <v>2842</v>
      </c>
      <c r="I68" s="561">
        <f t="shared" si="28"/>
        <v>0.37968359700249793</v>
      </c>
      <c r="J68" s="562">
        <f t="shared" si="29"/>
        <v>0.4129900375210247</v>
      </c>
      <c r="K68" s="558">
        <v>13242</v>
      </c>
      <c r="L68" s="559">
        <v>9755</v>
      </c>
      <c r="M68" s="559">
        <v>8977</v>
      </c>
      <c r="N68" s="559">
        <v>3591</v>
      </c>
      <c r="O68" s="560">
        <v>3390</v>
      </c>
      <c r="P68" s="561">
        <f t="shared" si="64"/>
        <v>0.36811891337775499</v>
      </c>
      <c r="Q68" s="562">
        <f t="shared" si="65"/>
        <v>0.40002227915784783</v>
      </c>
      <c r="R68" s="558">
        <v>14558</v>
      </c>
      <c r="S68" s="559">
        <v>10790</v>
      </c>
      <c r="T68" s="559">
        <v>9829</v>
      </c>
      <c r="U68" s="559">
        <v>3505</v>
      </c>
      <c r="V68" s="560">
        <v>3410</v>
      </c>
      <c r="W68" s="561">
        <f t="shared" si="32"/>
        <v>0.32483781278962004</v>
      </c>
      <c r="X68" s="562">
        <f t="shared" si="33"/>
        <v>0.35659782276935598</v>
      </c>
      <c r="Y68" s="558">
        <v>13424</v>
      </c>
      <c r="Z68" s="559">
        <v>9838</v>
      </c>
      <c r="AA68" s="559">
        <v>8927</v>
      </c>
      <c r="AB68" s="559">
        <v>3234</v>
      </c>
      <c r="AC68" s="560">
        <v>2971</v>
      </c>
      <c r="AD68" s="561">
        <f t="shared" si="66"/>
        <v>0.32872535068103276</v>
      </c>
      <c r="AE68" s="562">
        <f t="shared" si="67"/>
        <v>0.36227175982973003</v>
      </c>
      <c r="AF68" s="558">
        <v>12239</v>
      </c>
      <c r="AG68" s="559">
        <v>8985</v>
      </c>
      <c r="AH68" s="559">
        <v>8218</v>
      </c>
      <c r="AI68" s="559">
        <v>2977</v>
      </c>
      <c r="AJ68" s="560">
        <v>2928</v>
      </c>
      <c r="AK68" s="561">
        <f t="shared" si="68"/>
        <v>0.33132999443516975</v>
      </c>
      <c r="AL68" s="562">
        <f t="shared" si="69"/>
        <v>0.36225358968118765</v>
      </c>
      <c r="AM68" s="558">
        <v>11332</v>
      </c>
      <c r="AN68" s="559">
        <v>8275</v>
      </c>
      <c r="AO68" s="559">
        <v>7272</v>
      </c>
      <c r="AP68" s="559">
        <v>2896</v>
      </c>
      <c r="AQ68" s="560">
        <v>2704</v>
      </c>
      <c r="AR68" s="561">
        <f t="shared" si="70"/>
        <v>0.34996978851963745</v>
      </c>
      <c r="AS68" s="562">
        <f t="shared" si="71"/>
        <v>0.39823982398239827</v>
      </c>
      <c r="AT68" s="558">
        <v>10288</v>
      </c>
      <c r="AU68" s="559">
        <v>7490</v>
      </c>
      <c r="AV68" s="559">
        <v>6644</v>
      </c>
      <c r="AW68" s="559">
        <v>2591</v>
      </c>
      <c r="AX68" s="560">
        <v>2419</v>
      </c>
      <c r="AY68" s="561">
        <f t="shared" si="72"/>
        <v>0.34592790387182909</v>
      </c>
      <c r="AZ68" s="562">
        <f t="shared" si="73"/>
        <v>0.38997591812161347</v>
      </c>
      <c r="BA68" s="558">
        <v>9589</v>
      </c>
      <c r="BB68" s="559">
        <v>6955</v>
      </c>
      <c r="BC68" s="559">
        <v>6092</v>
      </c>
      <c r="BD68" s="559">
        <v>2372</v>
      </c>
      <c r="BE68" s="560">
        <v>2290</v>
      </c>
      <c r="BF68" s="561">
        <f t="shared" si="74"/>
        <v>0.34104960460100647</v>
      </c>
      <c r="BG68" s="562">
        <f t="shared" si="75"/>
        <v>0.38936309914642153</v>
      </c>
      <c r="BH68" s="558">
        <v>8723</v>
      </c>
      <c r="BI68" s="559">
        <v>6342</v>
      </c>
      <c r="BJ68" s="559">
        <v>5611</v>
      </c>
      <c r="BK68" s="559">
        <v>2394</v>
      </c>
      <c r="BL68" s="560">
        <v>2293</v>
      </c>
      <c r="BM68" s="561">
        <f t="shared" si="76"/>
        <v>0.37748344370860926</v>
      </c>
      <c r="BN68" s="562">
        <f t="shared" si="77"/>
        <v>0.42666191409730886</v>
      </c>
      <c r="BO68" s="558">
        <v>8835</v>
      </c>
      <c r="BP68" s="559">
        <v>6437</v>
      </c>
      <c r="BQ68" s="559">
        <v>5693</v>
      </c>
      <c r="BR68" s="559">
        <v>2476</v>
      </c>
      <c r="BS68" s="560">
        <v>2408</v>
      </c>
      <c r="BT68" s="561">
        <f t="shared" si="78"/>
        <v>0.3846512350473823</v>
      </c>
      <c r="BU68" s="562">
        <f t="shared" si="79"/>
        <v>0.43492007728789744</v>
      </c>
      <c r="BV68" s="558">
        <v>9138</v>
      </c>
      <c r="BW68" s="559">
        <v>6366</v>
      </c>
      <c r="BX68" s="559">
        <v>5632</v>
      </c>
      <c r="BY68" s="559">
        <v>2541</v>
      </c>
      <c r="BZ68" s="560">
        <v>2473</v>
      </c>
      <c r="CA68" s="561">
        <f t="shared" si="80"/>
        <v>0.39915174363807726</v>
      </c>
      <c r="CB68" s="562">
        <f t="shared" si="81"/>
        <v>0.451171875</v>
      </c>
      <c r="CC68" s="558">
        <v>8239</v>
      </c>
      <c r="CD68" s="559">
        <v>5675</v>
      </c>
      <c r="CE68" s="559">
        <v>4839</v>
      </c>
      <c r="CF68" s="559">
        <v>2587</v>
      </c>
      <c r="CG68" s="560">
        <v>2555</v>
      </c>
      <c r="CH68" s="561">
        <f t="shared" si="82"/>
        <v>0.45585903083700441</v>
      </c>
      <c r="CI68" s="562">
        <f t="shared" si="83"/>
        <v>0.53461458979127918</v>
      </c>
      <c r="CJ68" s="558">
        <v>9511</v>
      </c>
      <c r="CK68" s="559">
        <v>6582</v>
      </c>
      <c r="CL68" s="559">
        <v>5494</v>
      </c>
      <c r="CM68" s="559">
        <v>2631</v>
      </c>
      <c r="CN68" s="560">
        <v>2579</v>
      </c>
      <c r="CO68" s="561">
        <f t="shared" si="96"/>
        <v>0.39972652689152233</v>
      </c>
      <c r="CP68" s="664">
        <f t="shared" si="97"/>
        <v>0.47888605751729157</v>
      </c>
      <c r="CQ68" s="561">
        <v>0.51078699483439682</v>
      </c>
      <c r="CR68" s="562">
        <v>0.61194029850746268</v>
      </c>
      <c r="CS68" s="558">
        <v>9335</v>
      </c>
      <c r="CT68" s="559">
        <v>6319</v>
      </c>
      <c r="CU68" s="559">
        <v>5355</v>
      </c>
      <c r="CV68" s="559">
        <v>2552</v>
      </c>
      <c r="CW68" s="560">
        <v>2457</v>
      </c>
      <c r="CX68" s="561">
        <f t="shared" ref="CX68:CX74" si="98">CV68/CT68</f>
        <v>0.40386137047001108</v>
      </c>
      <c r="CY68" s="664">
        <f t="shared" ref="CY68:CY74" si="99">CV68/CU68</f>
        <v>0.47656395891690007</v>
      </c>
      <c r="CZ68" s="561">
        <v>0.53172970406709918</v>
      </c>
      <c r="DA68" s="562">
        <v>0.62745098039215685</v>
      </c>
      <c r="DB68" s="558">
        <v>11691</v>
      </c>
      <c r="DC68" s="559">
        <v>7659</v>
      </c>
      <c r="DD68" s="559">
        <v>6532</v>
      </c>
      <c r="DE68" s="559">
        <v>2885</v>
      </c>
      <c r="DF68" s="560">
        <v>2768</v>
      </c>
      <c r="DG68" s="561">
        <f t="shared" ref="DG68:DG74" si="100">DE68/DC68</f>
        <v>0.37668102885494192</v>
      </c>
      <c r="DH68" s="664">
        <f t="shared" ref="DH68:DH74" si="101">DE68/DD68</f>
        <v>0.44167176974892836</v>
      </c>
      <c r="DI68" s="561">
        <v>0.50110980545763151</v>
      </c>
      <c r="DJ68" s="562">
        <v>0.58756889161053272</v>
      </c>
      <c r="DK68" s="558">
        <v>12484</v>
      </c>
      <c r="DL68" s="559">
        <v>7988</v>
      </c>
      <c r="DM68" s="559">
        <v>6630</v>
      </c>
      <c r="DN68" s="559">
        <v>2722</v>
      </c>
      <c r="DO68" s="560">
        <v>2648</v>
      </c>
      <c r="DP68" s="561">
        <f t="shared" ref="DP68:DP74" si="102">DN68/DL68</f>
        <v>0.34076114171256883</v>
      </c>
      <c r="DQ68" s="664">
        <f t="shared" ref="DQ68:DQ74" si="103">DN68/DM68</f>
        <v>0.41055806938159878</v>
      </c>
      <c r="DR68" s="561">
        <v>0.4626940410615924</v>
      </c>
      <c r="DS68" s="562">
        <v>0.55746606334841631</v>
      </c>
      <c r="DT68" s="558">
        <v>12945</v>
      </c>
      <c r="DU68" s="559">
        <v>8196</v>
      </c>
      <c r="DV68" s="559">
        <v>6939</v>
      </c>
      <c r="DW68" s="559">
        <v>3246</v>
      </c>
      <c r="DX68" s="560">
        <v>3065</v>
      </c>
      <c r="DY68" s="561">
        <f t="shared" ref="DY68:DY74" si="104">DW68/DU68</f>
        <v>0.39604685212298685</v>
      </c>
      <c r="DZ68" s="664">
        <f t="shared" ref="DZ68:DZ74" si="105">DW68/DV68</f>
        <v>0.46779074794638997</v>
      </c>
      <c r="EA68" s="561">
        <v>0.47938018545632016</v>
      </c>
      <c r="EB68" s="562">
        <v>0.56621991641446889</v>
      </c>
    </row>
    <row r="69" spans="1:132" s="2" customFormat="1" x14ac:dyDescent="0.25">
      <c r="A69" s="554" t="s">
        <v>555</v>
      </c>
      <c r="B69" s="497" t="s">
        <v>258</v>
      </c>
      <c r="C69" s="556" t="s">
        <v>219</v>
      </c>
      <c r="D69" s="499">
        <v>1514</v>
      </c>
      <c r="E69" s="500">
        <v>1245</v>
      </c>
      <c r="F69" s="500">
        <v>1140</v>
      </c>
      <c r="G69" s="500">
        <v>310</v>
      </c>
      <c r="H69" s="500">
        <v>257</v>
      </c>
      <c r="I69" s="501">
        <f t="shared" si="28"/>
        <v>0.24899598393574296</v>
      </c>
      <c r="J69" s="502">
        <f t="shared" si="29"/>
        <v>0.27192982456140352</v>
      </c>
      <c r="K69" s="499">
        <v>2070</v>
      </c>
      <c r="L69" s="500">
        <v>1709</v>
      </c>
      <c r="M69" s="500">
        <v>1502</v>
      </c>
      <c r="N69" s="500">
        <v>513</v>
      </c>
      <c r="O69" s="500">
        <v>448</v>
      </c>
      <c r="P69" s="501">
        <f t="shared" si="64"/>
        <v>0.30017554125219426</v>
      </c>
      <c r="Q69" s="502">
        <f t="shared" si="65"/>
        <v>0.3415446071904128</v>
      </c>
      <c r="R69" s="499">
        <v>2453</v>
      </c>
      <c r="S69" s="500">
        <v>2048</v>
      </c>
      <c r="T69" s="500">
        <v>1673</v>
      </c>
      <c r="U69" s="500">
        <v>504</v>
      </c>
      <c r="V69" s="500">
        <v>467</v>
      </c>
      <c r="W69" s="501">
        <f t="shared" si="32"/>
        <v>0.24609375</v>
      </c>
      <c r="X69" s="502">
        <f t="shared" si="33"/>
        <v>0.30125523012552302</v>
      </c>
      <c r="Y69" s="499">
        <v>2381</v>
      </c>
      <c r="Z69" s="500">
        <v>1988</v>
      </c>
      <c r="AA69" s="500">
        <v>1671</v>
      </c>
      <c r="AB69" s="500">
        <v>449</v>
      </c>
      <c r="AC69" s="500">
        <v>421</v>
      </c>
      <c r="AD69" s="501">
        <f t="shared" si="66"/>
        <v>0.22585513078470826</v>
      </c>
      <c r="AE69" s="502">
        <f t="shared" si="67"/>
        <v>0.26870137642130459</v>
      </c>
      <c r="AF69" s="499">
        <v>2215</v>
      </c>
      <c r="AG69" s="500">
        <v>1847</v>
      </c>
      <c r="AH69" s="500">
        <v>1513</v>
      </c>
      <c r="AI69" s="500">
        <v>409</v>
      </c>
      <c r="AJ69" s="500">
        <v>376</v>
      </c>
      <c r="AK69" s="501">
        <f t="shared" si="68"/>
        <v>0.22144017325392529</v>
      </c>
      <c r="AL69" s="502">
        <f t="shared" si="69"/>
        <v>0.27032385988103108</v>
      </c>
      <c r="AM69" s="499">
        <v>2244</v>
      </c>
      <c r="AN69" s="500">
        <v>1866</v>
      </c>
      <c r="AO69" s="500">
        <v>1596</v>
      </c>
      <c r="AP69" s="500">
        <v>389</v>
      </c>
      <c r="AQ69" s="500">
        <v>363</v>
      </c>
      <c r="AR69" s="501">
        <f t="shared" si="70"/>
        <v>0.20846730975348338</v>
      </c>
      <c r="AS69" s="502">
        <f t="shared" si="71"/>
        <v>0.243734335839599</v>
      </c>
      <c r="AT69" s="499">
        <v>2184</v>
      </c>
      <c r="AU69" s="500">
        <v>1842</v>
      </c>
      <c r="AV69" s="500">
        <v>1521</v>
      </c>
      <c r="AW69" s="500">
        <v>333</v>
      </c>
      <c r="AX69" s="500">
        <v>309</v>
      </c>
      <c r="AY69" s="501">
        <f t="shared" si="72"/>
        <v>0.18078175895765472</v>
      </c>
      <c r="AZ69" s="502">
        <f t="shared" si="73"/>
        <v>0.21893491124260356</v>
      </c>
      <c r="BA69" s="499">
        <v>2419</v>
      </c>
      <c r="BB69" s="500">
        <v>1944</v>
      </c>
      <c r="BC69" s="500">
        <v>1619</v>
      </c>
      <c r="BD69" s="500">
        <v>347</v>
      </c>
      <c r="BE69" s="500">
        <v>330</v>
      </c>
      <c r="BF69" s="501">
        <f t="shared" si="74"/>
        <v>0.17849794238683128</v>
      </c>
      <c r="BG69" s="502">
        <f t="shared" si="75"/>
        <v>0.21432983323038912</v>
      </c>
      <c r="BH69" s="499">
        <v>2208</v>
      </c>
      <c r="BI69" s="500">
        <v>1831</v>
      </c>
      <c r="BJ69" s="500">
        <v>1551</v>
      </c>
      <c r="BK69" s="500">
        <v>411</v>
      </c>
      <c r="BL69" s="500">
        <v>377</v>
      </c>
      <c r="BM69" s="501">
        <f t="shared" si="76"/>
        <v>0.22446750409612234</v>
      </c>
      <c r="BN69" s="502">
        <f t="shared" si="77"/>
        <v>0.26499032882011603</v>
      </c>
      <c r="BO69" s="499">
        <v>2018</v>
      </c>
      <c r="BP69" s="500">
        <v>1676</v>
      </c>
      <c r="BQ69" s="500">
        <v>1449</v>
      </c>
      <c r="BR69" s="500">
        <v>416</v>
      </c>
      <c r="BS69" s="500">
        <v>386</v>
      </c>
      <c r="BT69" s="501">
        <f t="shared" si="78"/>
        <v>0.24821002386634844</v>
      </c>
      <c r="BU69" s="502">
        <f t="shared" si="79"/>
        <v>0.28709454796411316</v>
      </c>
      <c r="BV69" s="499">
        <v>2077</v>
      </c>
      <c r="BW69" s="500">
        <v>1708</v>
      </c>
      <c r="BX69" s="500">
        <v>1431</v>
      </c>
      <c r="BY69" s="500">
        <v>437</v>
      </c>
      <c r="BZ69" s="500">
        <v>404</v>
      </c>
      <c r="CA69" s="501">
        <f t="shared" si="80"/>
        <v>0.25585480093676816</v>
      </c>
      <c r="CB69" s="502">
        <f t="shared" si="81"/>
        <v>0.30538085255066388</v>
      </c>
      <c r="CC69" s="499">
        <v>1148</v>
      </c>
      <c r="CD69" s="500">
        <v>904</v>
      </c>
      <c r="CE69" s="500">
        <v>722</v>
      </c>
      <c r="CF69" s="500">
        <v>407</v>
      </c>
      <c r="CG69" s="500">
        <v>376</v>
      </c>
      <c r="CH69" s="501">
        <f t="shared" si="82"/>
        <v>0.4502212389380531</v>
      </c>
      <c r="CI69" s="502">
        <f t="shared" si="83"/>
        <v>0.56371191135734067</v>
      </c>
      <c r="CJ69" s="499">
        <v>1861</v>
      </c>
      <c r="CK69" s="500">
        <v>1481</v>
      </c>
      <c r="CL69" s="500">
        <v>1201</v>
      </c>
      <c r="CM69" s="500">
        <v>585</v>
      </c>
      <c r="CN69" s="500">
        <v>554</v>
      </c>
      <c r="CO69" s="501">
        <f t="shared" si="96"/>
        <v>0.39500337609723157</v>
      </c>
      <c r="CP69" s="501">
        <f t="shared" si="97"/>
        <v>0.48709408825978351</v>
      </c>
      <c r="CQ69" s="501">
        <v>0.46320054017555706</v>
      </c>
      <c r="CR69" s="502">
        <v>0.57119067443796834</v>
      </c>
      <c r="CS69" s="499">
        <v>1788</v>
      </c>
      <c r="CT69" s="500">
        <v>1413</v>
      </c>
      <c r="CU69" s="500">
        <v>1161</v>
      </c>
      <c r="CV69" s="500">
        <v>473</v>
      </c>
      <c r="CW69" s="500">
        <v>410</v>
      </c>
      <c r="CX69" s="501">
        <f t="shared" si="98"/>
        <v>0.33474876150035388</v>
      </c>
      <c r="CY69" s="501">
        <f t="shared" si="99"/>
        <v>0.40740740740740738</v>
      </c>
      <c r="CZ69" s="501">
        <v>0.47416843595187547</v>
      </c>
      <c r="DA69" s="502">
        <v>0.5770887166236004</v>
      </c>
      <c r="DB69" s="499">
        <v>2812</v>
      </c>
      <c r="DC69" s="500">
        <v>2109</v>
      </c>
      <c r="DD69" s="500">
        <v>1789</v>
      </c>
      <c r="DE69" s="500">
        <v>545</v>
      </c>
      <c r="DF69" s="500">
        <v>501</v>
      </c>
      <c r="DG69" s="501">
        <f t="shared" si="100"/>
        <v>0.25841631104788998</v>
      </c>
      <c r="DH69" s="501">
        <f t="shared" si="101"/>
        <v>0.30463946338736725</v>
      </c>
      <c r="DI69" s="501">
        <v>0.38217164532954007</v>
      </c>
      <c r="DJ69" s="502">
        <v>0.4505310229178312</v>
      </c>
      <c r="DK69" s="499">
        <v>3234</v>
      </c>
      <c r="DL69" s="500">
        <v>2308</v>
      </c>
      <c r="DM69" s="500">
        <v>1959</v>
      </c>
      <c r="DN69" s="500">
        <v>528</v>
      </c>
      <c r="DO69" s="500">
        <v>483</v>
      </c>
      <c r="DP69" s="501">
        <f t="shared" si="102"/>
        <v>0.22876949740034663</v>
      </c>
      <c r="DQ69" s="501">
        <f t="shared" si="103"/>
        <v>0.26952526799387444</v>
      </c>
      <c r="DR69" s="501">
        <v>0.37261698440207974</v>
      </c>
      <c r="DS69" s="502">
        <v>0.43899948953547729</v>
      </c>
      <c r="DT69" s="499">
        <v>3518</v>
      </c>
      <c r="DU69" s="500">
        <v>2434</v>
      </c>
      <c r="DV69" s="500">
        <v>2149</v>
      </c>
      <c r="DW69" s="500">
        <v>627</v>
      </c>
      <c r="DX69" s="500">
        <v>569</v>
      </c>
      <c r="DY69" s="501">
        <f t="shared" si="104"/>
        <v>0.25760065735414955</v>
      </c>
      <c r="DZ69" s="501">
        <f t="shared" si="105"/>
        <v>0.29176361098185205</v>
      </c>
      <c r="EA69" s="501">
        <v>0.35086277732128185</v>
      </c>
      <c r="EB69" s="502">
        <v>0.3973941368078176</v>
      </c>
    </row>
    <row r="70" spans="1:132" s="2" customFormat="1" x14ac:dyDescent="0.25">
      <c r="A70" s="496" t="s">
        <v>555</v>
      </c>
      <c r="B70" s="497">
        <v>17200</v>
      </c>
      <c r="C70" s="498" t="s">
        <v>225</v>
      </c>
      <c r="D70" s="545">
        <v>1105</v>
      </c>
      <c r="E70" s="546">
        <v>1095</v>
      </c>
      <c r="F70" s="546">
        <v>994</v>
      </c>
      <c r="G70" s="546">
        <v>237</v>
      </c>
      <c r="H70" s="546">
        <v>181</v>
      </c>
      <c r="I70" s="547">
        <f t="shared" si="28"/>
        <v>0.21643835616438356</v>
      </c>
      <c r="J70" s="548">
        <f t="shared" si="29"/>
        <v>0.23843058350100604</v>
      </c>
      <c r="K70" s="545">
        <v>1191</v>
      </c>
      <c r="L70" s="546">
        <v>1180</v>
      </c>
      <c r="M70" s="546">
        <v>1017</v>
      </c>
      <c r="N70" s="546">
        <v>196</v>
      </c>
      <c r="O70" s="546">
        <v>189</v>
      </c>
      <c r="P70" s="547">
        <f t="shared" si="64"/>
        <v>0.16610169491525423</v>
      </c>
      <c r="Q70" s="548">
        <f t="shared" si="65"/>
        <v>0.1927236971484759</v>
      </c>
      <c r="R70" s="545">
        <v>1488</v>
      </c>
      <c r="S70" s="546">
        <v>1444</v>
      </c>
      <c r="T70" s="546">
        <v>1344</v>
      </c>
      <c r="U70" s="546">
        <v>228</v>
      </c>
      <c r="V70" s="546">
        <v>223</v>
      </c>
      <c r="W70" s="547">
        <f t="shared" si="32"/>
        <v>0.15789473684210525</v>
      </c>
      <c r="X70" s="548">
        <f t="shared" si="33"/>
        <v>0.16964285714285715</v>
      </c>
      <c r="Y70" s="545">
        <v>1011</v>
      </c>
      <c r="Z70" s="546">
        <v>972</v>
      </c>
      <c r="AA70" s="546">
        <v>929</v>
      </c>
      <c r="AB70" s="546">
        <v>186</v>
      </c>
      <c r="AC70" s="546">
        <v>185</v>
      </c>
      <c r="AD70" s="547">
        <f t="shared" si="66"/>
        <v>0.19135802469135801</v>
      </c>
      <c r="AE70" s="548">
        <f t="shared" si="67"/>
        <v>0.20021528525296017</v>
      </c>
      <c r="AF70" s="545">
        <v>1091</v>
      </c>
      <c r="AG70" s="546">
        <v>998</v>
      </c>
      <c r="AH70" s="546">
        <v>956</v>
      </c>
      <c r="AI70" s="546">
        <v>173</v>
      </c>
      <c r="AJ70" s="546">
        <v>170</v>
      </c>
      <c r="AK70" s="547">
        <f t="shared" si="68"/>
        <v>0.17334669338677355</v>
      </c>
      <c r="AL70" s="548">
        <f t="shared" si="69"/>
        <v>0.1809623430962343</v>
      </c>
      <c r="AM70" s="545">
        <v>766</v>
      </c>
      <c r="AN70" s="546">
        <v>705</v>
      </c>
      <c r="AO70" s="546">
        <v>673</v>
      </c>
      <c r="AP70" s="546">
        <v>149</v>
      </c>
      <c r="AQ70" s="546">
        <v>142</v>
      </c>
      <c r="AR70" s="547">
        <f t="shared" si="70"/>
        <v>0.21134751773049645</v>
      </c>
      <c r="AS70" s="548">
        <f t="shared" si="71"/>
        <v>0.2213967310549777</v>
      </c>
      <c r="AT70" s="545">
        <v>449</v>
      </c>
      <c r="AU70" s="546">
        <v>405</v>
      </c>
      <c r="AV70" s="546">
        <v>391</v>
      </c>
      <c r="AW70" s="546">
        <v>133</v>
      </c>
      <c r="AX70" s="546">
        <v>131</v>
      </c>
      <c r="AY70" s="547">
        <f t="shared" si="72"/>
        <v>0.32839506172839505</v>
      </c>
      <c r="AZ70" s="548">
        <f t="shared" si="73"/>
        <v>0.34015345268542202</v>
      </c>
      <c r="BA70" s="545">
        <v>597</v>
      </c>
      <c r="BB70" s="546">
        <v>567</v>
      </c>
      <c r="BC70" s="546">
        <v>516</v>
      </c>
      <c r="BD70" s="546">
        <v>151</v>
      </c>
      <c r="BE70" s="546">
        <v>146</v>
      </c>
      <c r="BF70" s="547">
        <f t="shared" si="74"/>
        <v>0.26631393298059963</v>
      </c>
      <c r="BG70" s="548">
        <f t="shared" si="75"/>
        <v>0.2926356589147287</v>
      </c>
      <c r="BH70" s="545">
        <v>513</v>
      </c>
      <c r="BI70" s="546">
        <v>490</v>
      </c>
      <c r="BJ70" s="546">
        <v>446</v>
      </c>
      <c r="BK70" s="546">
        <v>150</v>
      </c>
      <c r="BL70" s="546">
        <v>148</v>
      </c>
      <c r="BM70" s="547">
        <f t="shared" si="76"/>
        <v>0.30612244897959184</v>
      </c>
      <c r="BN70" s="548">
        <f t="shared" si="77"/>
        <v>0.33632286995515698</v>
      </c>
      <c r="BO70" s="545">
        <v>473</v>
      </c>
      <c r="BP70" s="546">
        <v>459</v>
      </c>
      <c r="BQ70" s="546">
        <v>410</v>
      </c>
      <c r="BR70" s="546">
        <v>152</v>
      </c>
      <c r="BS70" s="546">
        <v>149</v>
      </c>
      <c r="BT70" s="547">
        <f t="shared" si="78"/>
        <v>0.33115468409586057</v>
      </c>
      <c r="BU70" s="548">
        <f t="shared" si="79"/>
        <v>0.37073170731707317</v>
      </c>
      <c r="BV70" s="545">
        <v>421</v>
      </c>
      <c r="BW70" s="546">
        <v>409</v>
      </c>
      <c r="BX70" s="546">
        <v>359</v>
      </c>
      <c r="BY70" s="546">
        <v>188</v>
      </c>
      <c r="BZ70" s="546">
        <v>186</v>
      </c>
      <c r="CA70" s="547">
        <f t="shared" si="80"/>
        <v>0.45965770171149145</v>
      </c>
      <c r="CB70" s="548">
        <f t="shared" si="81"/>
        <v>0.5236768802228412</v>
      </c>
      <c r="CC70" s="545">
        <v>445</v>
      </c>
      <c r="CD70" s="546">
        <v>423</v>
      </c>
      <c r="CE70" s="546">
        <v>304</v>
      </c>
      <c r="CF70" s="546">
        <v>199</v>
      </c>
      <c r="CG70" s="546">
        <v>195</v>
      </c>
      <c r="CH70" s="547">
        <f t="shared" si="82"/>
        <v>0.47044917257683216</v>
      </c>
      <c r="CI70" s="548">
        <f t="shared" si="83"/>
        <v>0.65460526315789469</v>
      </c>
      <c r="CJ70" s="545">
        <v>458</v>
      </c>
      <c r="CK70" s="546">
        <v>431</v>
      </c>
      <c r="CL70" s="546">
        <v>277</v>
      </c>
      <c r="CM70" s="546">
        <v>192</v>
      </c>
      <c r="CN70" s="546">
        <v>191</v>
      </c>
      <c r="CO70" s="547">
        <f t="shared" si="96"/>
        <v>0.44547563805104406</v>
      </c>
      <c r="CP70" s="547">
        <f t="shared" si="97"/>
        <v>0.69314079422382668</v>
      </c>
      <c r="CQ70" s="547">
        <v>0.51508120649651967</v>
      </c>
      <c r="CR70" s="548">
        <v>0.80144404332129959</v>
      </c>
      <c r="CS70" s="545">
        <v>419</v>
      </c>
      <c r="CT70" s="546">
        <v>402</v>
      </c>
      <c r="CU70" s="546">
        <v>317</v>
      </c>
      <c r="CV70" s="546">
        <v>159</v>
      </c>
      <c r="CW70" s="546">
        <v>157</v>
      </c>
      <c r="CX70" s="547">
        <f t="shared" si="98"/>
        <v>0.39552238805970147</v>
      </c>
      <c r="CY70" s="547">
        <f t="shared" si="99"/>
        <v>0.50157728706624605</v>
      </c>
      <c r="CZ70" s="547">
        <v>0.50248756218905477</v>
      </c>
      <c r="DA70" s="548">
        <v>0.63722397476340698</v>
      </c>
      <c r="DB70" s="545">
        <v>549</v>
      </c>
      <c r="DC70" s="546">
        <v>523</v>
      </c>
      <c r="DD70" s="546">
        <v>437</v>
      </c>
      <c r="DE70" s="546">
        <v>162</v>
      </c>
      <c r="DF70" s="546">
        <v>158</v>
      </c>
      <c r="DG70" s="547">
        <f t="shared" si="100"/>
        <v>0.30975143403441685</v>
      </c>
      <c r="DH70" s="547">
        <f t="shared" si="101"/>
        <v>0.37070938215102978</v>
      </c>
      <c r="DI70" s="547">
        <v>0.38240917782026768</v>
      </c>
      <c r="DJ70" s="548">
        <v>0.45766590389016021</v>
      </c>
      <c r="DK70" s="545">
        <v>593</v>
      </c>
      <c r="DL70" s="546">
        <v>558</v>
      </c>
      <c r="DM70" s="546">
        <v>474</v>
      </c>
      <c r="DN70" s="546">
        <v>172</v>
      </c>
      <c r="DO70" s="546">
        <v>152</v>
      </c>
      <c r="DP70" s="547">
        <f t="shared" si="102"/>
        <v>0.30824372759856633</v>
      </c>
      <c r="DQ70" s="547">
        <f t="shared" si="103"/>
        <v>0.3628691983122363</v>
      </c>
      <c r="DR70" s="547">
        <v>0.4157706093189964</v>
      </c>
      <c r="DS70" s="548">
        <v>0.48945147679324896</v>
      </c>
      <c r="DT70" s="545">
        <v>607</v>
      </c>
      <c r="DU70" s="546">
        <v>564</v>
      </c>
      <c r="DV70" s="546">
        <v>489</v>
      </c>
      <c r="DW70" s="546">
        <v>160</v>
      </c>
      <c r="DX70" s="546">
        <v>156</v>
      </c>
      <c r="DY70" s="547">
        <f t="shared" si="104"/>
        <v>0.28368794326241137</v>
      </c>
      <c r="DZ70" s="547">
        <f t="shared" si="105"/>
        <v>0.32719836400817998</v>
      </c>
      <c r="EA70" s="547">
        <v>0.40780141843971629</v>
      </c>
      <c r="EB70" s="548">
        <v>0.47034764826175868</v>
      </c>
    </row>
    <row r="71" spans="1:132" s="2" customFormat="1" x14ac:dyDescent="0.25">
      <c r="A71" s="503" t="s">
        <v>555</v>
      </c>
      <c r="B71" s="504" t="s">
        <v>259</v>
      </c>
      <c r="C71" s="505" t="s">
        <v>162</v>
      </c>
      <c r="D71" s="506">
        <v>3131</v>
      </c>
      <c r="E71" s="507">
        <v>2609</v>
      </c>
      <c r="F71" s="507">
        <v>2173</v>
      </c>
      <c r="G71" s="507">
        <v>911</v>
      </c>
      <c r="H71" s="507">
        <v>897</v>
      </c>
      <c r="I71" s="508">
        <f t="shared" si="28"/>
        <v>0.34917592947489462</v>
      </c>
      <c r="J71" s="509">
        <f t="shared" si="29"/>
        <v>0.41923607915324435</v>
      </c>
      <c r="K71" s="506">
        <v>3598</v>
      </c>
      <c r="L71" s="507">
        <v>2991</v>
      </c>
      <c r="M71" s="507">
        <v>2502</v>
      </c>
      <c r="N71" s="507">
        <v>821</v>
      </c>
      <c r="O71" s="507">
        <v>811</v>
      </c>
      <c r="P71" s="508">
        <f t="shared" si="64"/>
        <v>0.27449013707790038</v>
      </c>
      <c r="Q71" s="509">
        <f t="shared" si="65"/>
        <v>0.32813749000799358</v>
      </c>
      <c r="R71" s="506">
        <v>3511</v>
      </c>
      <c r="S71" s="507">
        <v>2863</v>
      </c>
      <c r="T71" s="507">
        <v>2421</v>
      </c>
      <c r="U71" s="507">
        <v>826</v>
      </c>
      <c r="V71" s="507">
        <v>821</v>
      </c>
      <c r="W71" s="508">
        <f t="shared" ref="W71:W136" si="106">U71/S71</f>
        <v>0.28850855745721271</v>
      </c>
      <c r="X71" s="509">
        <f t="shared" ref="X71:X136" si="107">U71/T71</f>
        <v>0.34118133002891365</v>
      </c>
      <c r="Y71" s="506">
        <v>3290</v>
      </c>
      <c r="Z71" s="507">
        <v>2689</v>
      </c>
      <c r="AA71" s="507">
        <v>2240</v>
      </c>
      <c r="AB71" s="507">
        <v>739</v>
      </c>
      <c r="AC71" s="507">
        <v>735</v>
      </c>
      <c r="AD71" s="508">
        <f t="shared" si="66"/>
        <v>0.27482335440684269</v>
      </c>
      <c r="AE71" s="509">
        <f t="shared" si="67"/>
        <v>0.32991071428571428</v>
      </c>
      <c r="AF71" s="506">
        <v>2799</v>
      </c>
      <c r="AG71" s="507">
        <v>2341</v>
      </c>
      <c r="AH71" s="507">
        <v>1945</v>
      </c>
      <c r="AI71" s="507">
        <v>685</v>
      </c>
      <c r="AJ71" s="507">
        <v>685</v>
      </c>
      <c r="AK71" s="508">
        <f t="shared" si="68"/>
        <v>0.29260999572832125</v>
      </c>
      <c r="AL71" s="509">
        <f t="shared" si="69"/>
        <v>0.35218508997429304</v>
      </c>
      <c r="AM71" s="506">
        <v>2236</v>
      </c>
      <c r="AN71" s="507">
        <v>1842</v>
      </c>
      <c r="AO71" s="507">
        <v>1530</v>
      </c>
      <c r="AP71" s="507">
        <v>747</v>
      </c>
      <c r="AQ71" s="507">
        <v>611</v>
      </c>
      <c r="AR71" s="508">
        <f t="shared" si="70"/>
        <v>0.40553745928338764</v>
      </c>
      <c r="AS71" s="509">
        <f t="shared" si="71"/>
        <v>0.48823529411764705</v>
      </c>
      <c r="AT71" s="506">
        <v>2379</v>
      </c>
      <c r="AU71" s="507">
        <v>1927</v>
      </c>
      <c r="AV71" s="507">
        <v>1705</v>
      </c>
      <c r="AW71" s="507">
        <v>817</v>
      </c>
      <c r="AX71" s="507">
        <v>655</v>
      </c>
      <c r="AY71" s="508">
        <f t="shared" si="72"/>
        <v>0.42397509081473794</v>
      </c>
      <c r="AZ71" s="509">
        <f t="shared" si="73"/>
        <v>0.47917888563049854</v>
      </c>
      <c r="BA71" s="506">
        <v>2051</v>
      </c>
      <c r="BB71" s="507">
        <v>1704</v>
      </c>
      <c r="BC71" s="507">
        <v>1472</v>
      </c>
      <c r="BD71" s="507">
        <v>660</v>
      </c>
      <c r="BE71" s="507">
        <v>599</v>
      </c>
      <c r="BF71" s="508">
        <f t="shared" si="74"/>
        <v>0.38732394366197181</v>
      </c>
      <c r="BG71" s="509">
        <f t="shared" si="75"/>
        <v>0.4483695652173913</v>
      </c>
      <c r="BH71" s="506">
        <v>1898</v>
      </c>
      <c r="BI71" s="507">
        <v>1581</v>
      </c>
      <c r="BJ71" s="507">
        <v>1394</v>
      </c>
      <c r="BK71" s="507">
        <v>629</v>
      </c>
      <c r="BL71" s="507">
        <v>565</v>
      </c>
      <c r="BM71" s="508">
        <f t="shared" si="76"/>
        <v>0.39784946236559138</v>
      </c>
      <c r="BN71" s="509">
        <f t="shared" si="77"/>
        <v>0.45121951219512196</v>
      </c>
      <c r="BO71" s="506">
        <v>2062</v>
      </c>
      <c r="BP71" s="507">
        <v>1705</v>
      </c>
      <c r="BQ71" s="507">
        <v>1459</v>
      </c>
      <c r="BR71" s="507">
        <v>641</v>
      </c>
      <c r="BS71" s="507">
        <v>609</v>
      </c>
      <c r="BT71" s="508">
        <f t="shared" si="78"/>
        <v>0.37595307917888565</v>
      </c>
      <c r="BU71" s="509">
        <f t="shared" si="79"/>
        <v>0.43934201507882109</v>
      </c>
      <c r="BV71" s="506">
        <v>1996</v>
      </c>
      <c r="BW71" s="507">
        <v>1560</v>
      </c>
      <c r="BX71" s="507">
        <v>1366</v>
      </c>
      <c r="BY71" s="507">
        <v>604</v>
      </c>
      <c r="BZ71" s="507">
        <v>568</v>
      </c>
      <c r="CA71" s="508">
        <f t="shared" si="80"/>
        <v>0.38717948717948719</v>
      </c>
      <c r="CB71" s="509">
        <f t="shared" si="81"/>
        <v>0.44216691068814057</v>
      </c>
      <c r="CC71" s="506">
        <v>1915</v>
      </c>
      <c r="CD71" s="507">
        <v>1533</v>
      </c>
      <c r="CE71" s="507">
        <v>1305</v>
      </c>
      <c r="CF71" s="507">
        <v>621</v>
      </c>
      <c r="CG71" s="507">
        <v>609</v>
      </c>
      <c r="CH71" s="508">
        <f t="shared" si="82"/>
        <v>0.40508806262230918</v>
      </c>
      <c r="CI71" s="509">
        <f t="shared" si="83"/>
        <v>0.47586206896551725</v>
      </c>
      <c r="CJ71" s="506">
        <v>1824</v>
      </c>
      <c r="CK71" s="507">
        <v>1494</v>
      </c>
      <c r="CL71" s="507">
        <v>1135</v>
      </c>
      <c r="CM71" s="507">
        <v>502</v>
      </c>
      <c r="CN71" s="507">
        <v>499</v>
      </c>
      <c r="CO71" s="508">
        <f t="shared" si="96"/>
        <v>0.33601070950468542</v>
      </c>
      <c r="CP71" s="508">
        <f t="shared" si="97"/>
        <v>0.44229074889867842</v>
      </c>
      <c r="CQ71" s="508">
        <v>0.4705488621151272</v>
      </c>
      <c r="CR71" s="509">
        <v>0.61938325991189425</v>
      </c>
      <c r="CS71" s="506">
        <v>1888</v>
      </c>
      <c r="CT71" s="507">
        <v>1555</v>
      </c>
      <c r="CU71" s="507">
        <v>1308</v>
      </c>
      <c r="CV71" s="507">
        <v>621</v>
      </c>
      <c r="CW71" s="507">
        <v>589</v>
      </c>
      <c r="CX71" s="508">
        <f t="shared" si="98"/>
        <v>0.39935691318327976</v>
      </c>
      <c r="CY71" s="508">
        <f t="shared" si="99"/>
        <v>0.47477064220183485</v>
      </c>
      <c r="CZ71" s="508">
        <v>0.50225080385852094</v>
      </c>
      <c r="DA71" s="509">
        <v>0.59709480122324154</v>
      </c>
      <c r="DB71" s="506">
        <v>2283</v>
      </c>
      <c r="DC71" s="507">
        <v>1804</v>
      </c>
      <c r="DD71" s="507">
        <v>1520</v>
      </c>
      <c r="DE71" s="507">
        <v>609</v>
      </c>
      <c r="DF71" s="507">
        <v>570</v>
      </c>
      <c r="DG71" s="508">
        <f t="shared" si="100"/>
        <v>0.33758314855875832</v>
      </c>
      <c r="DH71" s="508">
        <f t="shared" si="101"/>
        <v>0.4006578947368421</v>
      </c>
      <c r="DI71" s="508">
        <v>0.47394678492239467</v>
      </c>
      <c r="DJ71" s="509">
        <v>0.5625</v>
      </c>
      <c r="DK71" s="506">
        <v>2467</v>
      </c>
      <c r="DL71" s="507">
        <v>1902</v>
      </c>
      <c r="DM71" s="507">
        <v>1475</v>
      </c>
      <c r="DN71" s="507">
        <v>635</v>
      </c>
      <c r="DO71" s="507">
        <v>613</v>
      </c>
      <c r="DP71" s="508">
        <f t="shared" si="102"/>
        <v>0.33385909568874866</v>
      </c>
      <c r="DQ71" s="508">
        <f t="shared" si="103"/>
        <v>0.43050847457627117</v>
      </c>
      <c r="DR71" s="508">
        <v>0.41114616193480547</v>
      </c>
      <c r="DS71" s="509">
        <v>0.5301694915254237</v>
      </c>
      <c r="DT71" s="506">
        <v>2532</v>
      </c>
      <c r="DU71" s="507">
        <v>1989</v>
      </c>
      <c r="DV71" s="507">
        <v>1564</v>
      </c>
      <c r="DW71" s="507">
        <v>791</v>
      </c>
      <c r="DX71" s="507">
        <v>685</v>
      </c>
      <c r="DY71" s="508">
        <f t="shared" si="104"/>
        <v>0.39768728004022119</v>
      </c>
      <c r="DZ71" s="508">
        <f t="shared" si="105"/>
        <v>0.50575447570332477</v>
      </c>
      <c r="EA71" s="508">
        <v>0.43740573152337858</v>
      </c>
      <c r="EB71" s="509">
        <v>0.55626598465473143</v>
      </c>
    </row>
    <row r="72" spans="1:132" s="2" customFormat="1" x14ac:dyDescent="0.25">
      <c r="A72" s="503" t="s">
        <v>555</v>
      </c>
      <c r="B72" s="504" t="s">
        <v>260</v>
      </c>
      <c r="C72" s="505" t="s">
        <v>176</v>
      </c>
      <c r="D72" s="506">
        <v>1566</v>
      </c>
      <c r="E72" s="507">
        <v>1300</v>
      </c>
      <c r="F72" s="507">
        <v>1183</v>
      </c>
      <c r="G72" s="507">
        <v>606</v>
      </c>
      <c r="H72" s="507">
        <v>573</v>
      </c>
      <c r="I72" s="508">
        <f t="shared" ref="I72:I139" si="108">G72/E72</f>
        <v>0.46615384615384614</v>
      </c>
      <c r="J72" s="509">
        <f t="shared" ref="J72:J139" si="109">G72/F72</f>
        <v>0.51225697379543533</v>
      </c>
      <c r="K72" s="506">
        <v>2006</v>
      </c>
      <c r="L72" s="507">
        <v>1725</v>
      </c>
      <c r="M72" s="507">
        <v>1648</v>
      </c>
      <c r="N72" s="507">
        <v>856</v>
      </c>
      <c r="O72" s="507">
        <v>838</v>
      </c>
      <c r="P72" s="508">
        <f t="shared" si="64"/>
        <v>0.49623188405797103</v>
      </c>
      <c r="Q72" s="509">
        <f t="shared" si="65"/>
        <v>0.51941747572815533</v>
      </c>
      <c r="R72" s="506">
        <v>1902</v>
      </c>
      <c r="S72" s="507">
        <v>1641</v>
      </c>
      <c r="T72" s="507">
        <v>1434</v>
      </c>
      <c r="U72" s="507">
        <v>814</v>
      </c>
      <c r="V72" s="507">
        <v>789</v>
      </c>
      <c r="W72" s="508">
        <f t="shared" si="106"/>
        <v>0.4960390006093845</v>
      </c>
      <c r="X72" s="509">
        <f t="shared" si="107"/>
        <v>0.56764295676429566</v>
      </c>
      <c r="Y72" s="506">
        <v>1815</v>
      </c>
      <c r="Z72" s="507">
        <v>1538</v>
      </c>
      <c r="AA72" s="507">
        <v>1282</v>
      </c>
      <c r="AB72" s="507">
        <v>656</v>
      </c>
      <c r="AC72" s="507">
        <v>638</v>
      </c>
      <c r="AD72" s="508">
        <f t="shared" si="66"/>
        <v>0.42652795838751628</v>
      </c>
      <c r="AE72" s="509">
        <f t="shared" si="67"/>
        <v>0.51170046801872071</v>
      </c>
      <c r="AF72" s="506">
        <v>1540</v>
      </c>
      <c r="AG72" s="507">
        <v>1314</v>
      </c>
      <c r="AH72" s="507">
        <v>1178</v>
      </c>
      <c r="AI72" s="507">
        <v>655</v>
      </c>
      <c r="AJ72" s="507">
        <v>641</v>
      </c>
      <c r="AK72" s="508">
        <f t="shared" si="68"/>
        <v>0.4984779299847793</v>
      </c>
      <c r="AL72" s="509">
        <f t="shared" si="69"/>
        <v>0.55602716468590829</v>
      </c>
      <c r="AM72" s="506">
        <v>1521</v>
      </c>
      <c r="AN72" s="507">
        <v>1249</v>
      </c>
      <c r="AO72" s="507">
        <v>1091</v>
      </c>
      <c r="AP72" s="507">
        <v>588</v>
      </c>
      <c r="AQ72" s="507">
        <v>577</v>
      </c>
      <c r="AR72" s="508">
        <f t="shared" si="70"/>
        <v>0.47077662129703762</v>
      </c>
      <c r="AS72" s="509">
        <f t="shared" si="71"/>
        <v>0.53895508707607698</v>
      </c>
      <c r="AT72" s="506">
        <v>1225</v>
      </c>
      <c r="AU72" s="507">
        <v>1033</v>
      </c>
      <c r="AV72" s="507">
        <v>929</v>
      </c>
      <c r="AW72" s="507">
        <v>523</v>
      </c>
      <c r="AX72" s="507">
        <v>514</v>
      </c>
      <c r="AY72" s="508">
        <f t="shared" si="72"/>
        <v>0.50629235237173287</v>
      </c>
      <c r="AZ72" s="509">
        <f t="shared" si="73"/>
        <v>0.56297093649085039</v>
      </c>
      <c r="BA72" s="506">
        <v>1220</v>
      </c>
      <c r="BB72" s="507">
        <v>1051</v>
      </c>
      <c r="BC72" s="507">
        <v>959</v>
      </c>
      <c r="BD72" s="507">
        <v>539</v>
      </c>
      <c r="BE72" s="507">
        <v>524</v>
      </c>
      <c r="BF72" s="508">
        <f t="shared" si="74"/>
        <v>0.51284490960989537</v>
      </c>
      <c r="BG72" s="509">
        <f t="shared" si="75"/>
        <v>0.56204379562043794</v>
      </c>
      <c r="BH72" s="506">
        <v>1043</v>
      </c>
      <c r="BI72" s="507">
        <v>897</v>
      </c>
      <c r="BJ72" s="507">
        <v>840</v>
      </c>
      <c r="BK72" s="507">
        <v>512</v>
      </c>
      <c r="BL72" s="507">
        <v>502</v>
      </c>
      <c r="BM72" s="508">
        <f t="shared" si="76"/>
        <v>0.57079152731326643</v>
      </c>
      <c r="BN72" s="509">
        <f t="shared" si="77"/>
        <v>0.60952380952380958</v>
      </c>
      <c r="BO72" s="506">
        <v>1229</v>
      </c>
      <c r="BP72" s="507">
        <v>1064</v>
      </c>
      <c r="BQ72" s="507">
        <v>1001</v>
      </c>
      <c r="BR72" s="507">
        <v>543</v>
      </c>
      <c r="BS72" s="507">
        <v>543</v>
      </c>
      <c r="BT72" s="508">
        <f t="shared" si="78"/>
        <v>0.51033834586466165</v>
      </c>
      <c r="BU72" s="509">
        <f t="shared" si="79"/>
        <v>0.54245754245754241</v>
      </c>
      <c r="BV72" s="506">
        <v>1156</v>
      </c>
      <c r="BW72" s="507">
        <v>999</v>
      </c>
      <c r="BX72" s="507">
        <v>958</v>
      </c>
      <c r="BY72" s="507">
        <v>510</v>
      </c>
      <c r="BZ72" s="507">
        <v>510</v>
      </c>
      <c r="CA72" s="508">
        <f t="shared" si="80"/>
        <v>0.51051051051051055</v>
      </c>
      <c r="CB72" s="509">
        <f t="shared" si="81"/>
        <v>0.53235908141962418</v>
      </c>
      <c r="CC72" s="506">
        <v>1144</v>
      </c>
      <c r="CD72" s="507">
        <v>966</v>
      </c>
      <c r="CE72" s="507">
        <v>911</v>
      </c>
      <c r="CF72" s="507">
        <v>520</v>
      </c>
      <c r="CG72" s="507">
        <v>520</v>
      </c>
      <c r="CH72" s="508">
        <f t="shared" si="82"/>
        <v>0.5383022774327122</v>
      </c>
      <c r="CI72" s="509">
        <f t="shared" si="83"/>
        <v>0.570801317233809</v>
      </c>
      <c r="CJ72" s="506">
        <v>1148</v>
      </c>
      <c r="CK72" s="507">
        <v>945</v>
      </c>
      <c r="CL72" s="507">
        <v>886</v>
      </c>
      <c r="CM72" s="507">
        <v>475</v>
      </c>
      <c r="CN72" s="507">
        <v>473</v>
      </c>
      <c r="CO72" s="508">
        <f t="shared" si="96"/>
        <v>0.50264550264550267</v>
      </c>
      <c r="CP72" s="508">
        <f t="shared" si="97"/>
        <v>0.536117381489842</v>
      </c>
      <c r="CQ72" s="508">
        <v>0.84973544973544979</v>
      </c>
      <c r="CR72" s="509">
        <v>0.9063205417607223</v>
      </c>
      <c r="CS72" s="506">
        <v>1357</v>
      </c>
      <c r="CT72" s="507">
        <v>1102</v>
      </c>
      <c r="CU72" s="507">
        <v>992</v>
      </c>
      <c r="CV72" s="507">
        <v>508</v>
      </c>
      <c r="CW72" s="507">
        <v>508</v>
      </c>
      <c r="CX72" s="508">
        <f t="shared" si="98"/>
        <v>0.46098003629764067</v>
      </c>
      <c r="CY72" s="508">
        <f t="shared" si="99"/>
        <v>0.51209677419354838</v>
      </c>
      <c r="CZ72" s="508">
        <v>0.77132486388384758</v>
      </c>
      <c r="DA72" s="509">
        <v>0.85685483870967738</v>
      </c>
      <c r="DB72" s="506">
        <v>1604</v>
      </c>
      <c r="DC72" s="507">
        <v>1322</v>
      </c>
      <c r="DD72" s="507">
        <v>1219</v>
      </c>
      <c r="DE72" s="507">
        <v>682</v>
      </c>
      <c r="DF72" s="507">
        <v>627</v>
      </c>
      <c r="DG72" s="508">
        <f t="shared" si="100"/>
        <v>0.51588502269288961</v>
      </c>
      <c r="DH72" s="508">
        <f t="shared" si="101"/>
        <v>0.55947497949138636</v>
      </c>
      <c r="DI72" s="508">
        <v>0.86686838124054466</v>
      </c>
      <c r="DJ72" s="509">
        <v>0.94011484823625924</v>
      </c>
      <c r="DK72" s="506">
        <v>1721</v>
      </c>
      <c r="DL72" s="507">
        <v>1378</v>
      </c>
      <c r="DM72" s="507">
        <v>1188</v>
      </c>
      <c r="DN72" s="507">
        <v>568</v>
      </c>
      <c r="DO72" s="507">
        <v>567</v>
      </c>
      <c r="DP72" s="508">
        <f t="shared" si="102"/>
        <v>0.41219158200290273</v>
      </c>
      <c r="DQ72" s="508">
        <f t="shared" si="103"/>
        <v>0.4781144781144781</v>
      </c>
      <c r="DR72" s="508">
        <v>0.75108853410740206</v>
      </c>
      <c r="DS72" s="509">
        <v>0.87121212121212122</v>
      </c>
      <c r="DT72" s="506">
        <v>1866</v>
      </c>
      <c r="DU72" s="507">
        <v>1507</v>
      </c>
      <c r="DV72" s="507">
        <v>1270</v>
      </c>
      <c r="DW72" s="507">
        <v>760</v>
      </c>
      <c r="DX72" s="507">
        <v>709</v>
      </c>
      <c r="DY72" s="508">
        <f t="shared" si="104"/>
        <v>0.50431320504313204</v>
      </c>
      <c r="DZ72" s="508">
        <f t="shared" si="105"/>
        <v>0.59842519685039375</v>
      </c>
      <c r="EA72" s="508">
        <v>0.69807564698075641</v>
      </c>
      <c r="EB72" s="509">
        <v>0.8283464566929134</v>
      </c>
    </row>
    <row r="73" spans="1:132" s="2" customFormat="1" x14ac:dyDescent="0.25">
      <c r="A73" s="503" t="s">
        <v>555</v>
      </c>
      <c r="B73" s="504" t="s">
        <v>261</v>
      </c>
      <c r="C73" s="505" t="s">
        <v>180</v>
      </c>
      <c r="D73" s="506">
        <v>3476</v>
      </c>
      <c r="E73" s="507">
        <v>2874</v>
      </c>
      <c r="F73" s="507">
        <v>2874</v>
      </c>
      <c r="G73" s="507">
        <v>1100</v>
      </c>
      <c r="H73" s="507">
        <v>849</v>
      </c>
      <c r="I73" s="508">
        <f t="shared" si="108"/>
        <v>0.3827418232428671</v>
      </c>
      <c r="J73" s="509">
        <f t="shared" si="109"/>
        <v>0.3827418232428671</v>
      </c>
      <c r="K73" s="506">
        <v>4062</v>
      </c>
      <c r="L73" s="507">
        <v>3227</v>
      </c>
      <c r="M73" s="507">
        <v>3227</v>
      </c>
      <c r="N73" s="507">
        <v>1206</v>
      </c>
      <c r="O73" s="507">
        <v>1052</v>
      </c>
      <c r="P73" s="508">
        <f t="shared" si="64"/>
        <v>0.37372172296250389</v>
      </c>
      <c r="Q73" s="509">
        <f t="shared" si="65"/>
        <v>0.37372172296250389</v>
      </c>
      <c r="R73" s="506">
        <v>4894</v>
      </c>
      <c r="S73" s="507">
        <v>4053</v>
      </c>
      <c r="T73" s="507">
        <v>4053</v>
      </c>
      <c r="U73" s="507">
        <v>1080</v>
      </c>
      <c r="V73" s="507">
        <v>1061</v>
      </c>
      <c r="W73" s="508">
        <f t="shared" si="106"/>
        <v>0.26646928201332348</v>
      </c>
      <c r="X73" s="509">
        <f t="shared" si="107"/>
        <v>0.26646928201332348</v>
      </c>
      <c r="Y73" s="506">
        <v>4632</v>
      </c>
      <c r="Z73" s="507">
        <v>3776</v>
      </c>
      <c r="AA73" s="507">
        <v>3776</v>
      </c>
      <c r="AB73" s="507">
        <v>1221</v>
      </c>
      <c r="AC73" s="507">
        <v>943</v>
      </c>
      <c r="AD73" s="508">
        <f t="shared" si="66"/>
        <v>0.32335805084745761</v>
      </c>
      <c r="AE73" s="509">
        <f t="shared" si="67"/>
        <v>0.32335805084745761</v>
      </c>
      <c r="AF73" s="506">
        <v>4329</v>
      </c>
      <c r="AG73" s="507">
        <v>3506</v>
      </c>
      <c r="AH73" s="507">
        <v>3506</v>
      </c>
      <c r="AI73" s="507">
        <v>1001</v>
      </c>
      <c r="AJ73" s="507">
        <v>1001</v>
      </c>
      <c r="AK73" s="508">
        <f t="shared" si="68"/>
        <v>0.28551055333713632</v>
      </c>
      <c r="AL73" s="509">
        <f t="shared" si="69"/>
        <v>0.28551055333713632</v>
      </c>
      <c r="AM73" s="506">
        <v>4325</v>
      </c>
      <c r="AN73" s="507">
        <v>3455</v>
      </c>
      <c r="AO73" s="507">
        <v>3051</v>
      </c>
      <c r="AP73" s="507">
        <v>990</v>
      </c>
      <c r="AQ73" s="507">
        <v>959</v>
      </c>
      <c r="AR73" s="508">
        <f t="shared" si="70"/>
        <v>0.2865412445730825</v>
      </c>
      <c r="AS73" s="509">
        <f t="shared" si="71"/>
        <v>0.32448377581120946</v>
      </c>
      <c r="AT73" s="506">
        <v>3745</v>
      </c>
      <c r="AU73" s="507">
        <v>3006</v>
      </c>
      <c r="AV73" s="507">
        <v>2675</v>
      </c>
      <c r="AW73" s="507">
        <v>749</v>
      </c>
      <c r="AX73" s="507">
        <v>749</v>
      </c>
      <c r="AY73" s="508">
        <f t="shared" si="72"/>
        <v>0.24916833000665337</v>
      </c>
      <c r="AZ73" s="509">
        <f t="shared" si="73"/>
        <v>0.28000000000000003</v>
      </c>
      <c r="BA73" s="506">
        <v>3055</v>
      </c>
      <c r="BB73" s="507">
        <v>2431</v>
      </c>
      <c r="BC73" s="507">
        <v>2134</v>
      </c>
      <c r="BD73" s="507">
        <v>652</v>
      </c>
      <c r="BE73" s="507">
        <v>648</v>
      </c>
      <c r="BF73" s="508">
        <f t="shared" si="74"/>
        <v>0.26820238584944467</v>
      </c>
      <c r="BG73" s="509">
        <f t="shared" si="75"/>
        <v>0.30552952202436739</v>
      </c>
      <c r="BH73" s="506">
        <v>2816</v>
      </c>
      <c r="BI73" s="507">
        <v>2227</v>
      </c>
      <c r="BJ73" s="507">
        <v>1936</v>
      </c>
      <c r="BK73" s="507">
        <v>658</v>
      </c>
      <c r="BL73" s="507">
        <v>658</v>
      </c>
      <c r="BM73" s="508">
        <f t="shared" si="76"/>
        <v>0.29546475078581053</v>
      </c>
      <c r="BN73" s="509">
        <f t="shared" si="77"/>
        <v>0.33987603305785125</v>
      </c>
      <c r="BO73" s="506">
        <v>2821</v>
      </c>
      <c r="BP73" s="507">
        <v>2272</v>
      </c>
      <c r="BQ73" s="507">
        <v>1944</v>
      </c>
      <c r="BR73" s="507">
        <v>676</v>
      </c>
      <c r="BS73" s="507">
        <v>675</v>
      </c>
      <c r="BT73" s="508">
        <f t="shared" si="78"/>
        <v>0.29753521126760563</v>
      </c>
      <c r="BU73" s="509">
        <f t="shared" si="79"/>
        <v>0.34773662551440332</v>
      </c>
      <c r="BV73" s="506">
        <v>3168</v>
      </c>
      <c r="BW73" s="507">
        <v>2431</v>
      </c>
      <c r="BX73" s="507">
        <v>2121</v>
      </c>
      <c r="BY73" s="507">
        <v>751</v>
      </c>
      <c r="BZ73" s="507">
        <v>748</v>
      </c>
      <c r="CA73" s="508">
        <f t="shared" si="80"/>
        <v>0.30892636774989718</v>
      </c>
      <c r="CB73" s="509">
        <f t="shared" si="81"/>
        <v>0.35407826496935407</v>
      </c>
      <c r="CC73" s="506">
        <v>3321</v>
      </c>
      <c r="CD73" s="507">
        <v>2461</v>
      </c>
      <c r="CE73" s="507">
        <v>2015</v>
      </c>
      <c r="CF73" s="507">
        <v>807</v>
      </c>
      <c r="CG73" s="507">
        <v>807</v>
      </c>
      <c r="CH73" s="508">
        <f t="shared" si="82"/>
        <v>0.32791548151158068</v>
      </c>
      <c r="CI73" s="509">
        <f t="shared" si="83"/>
        <v>0.40049627791563275</v>
      </c>
      <c r="CJ73" s="506">
        <v>3879</v>
      </c>
      <c r="CK73" s="507">
        <v>2868</v>
      </c>
      <c r="CL73" s="507">
        <v>2415</v>
      </c>
      <c r="CM73" s="507">
        <v>806</v>
      </c>
      <c r="CN73" s="507">
        <v>806</v>
      </c>
      <c r="CO73" s="508">
        <f t="shared" si="96"/>
        <v>0.28103207810320779</v>
      </c>
      <c r="CP73" s="508">
        <f t="shared" si="97"/>
        <v>0.33374741200828156</v>
      </c>
      <c r="CQ73" s="508">
        <v>0.35181311018131101</v>
      </c>
      <c r="CR73" s="509">
        <v>0.41780538302277431</v>
      </c>
      <c r="CS73" s="506">
        <v>3556</v>
      </c>
      <c r="CT73" s="507">
        <v>2581</v>
      </c>
      <c r="CU73" s="507">
        <v>2130</v>
      </c>
      <c r="CV73" s="507">
        <v>746</v>
      </c>
      <c r="CW73" s="507">
        <v>736</v>
      </c>
      <c r="CX73" s="508">
        <f t="shared" si="98"/>
        <v>0.28903525765207283</v>
      </c>
      <c r="CY73" s="508">
        <f t="shared" si="99"/>
        <v>0.35023474178403757</v>
      </c>
      <c r="CZ73" s="508">
        <v>0.37349864393645876</v>
      </c>
      <c r="DA73" s="509">
        <v>0.45258215962441317</v>
      </c>
      <c r="DB73" s="506">
        <v>4070</v>
      </c>
      <c r="DC73" s="507">
        <v>2948</v>
      </c>
      <c r="DD73" s="507">
        <v>2349</v>
      </c>
      <c r="DE73" s="507">
        <v>840</v>
      </c>
      <c r="DF73" s="507">
        <v>840</v>
      </c>
      <c r="DG73" s="508">
        <f t="shared" si="100"/>
        <v>0.28493894165535955</v>
      </c>
      <c r="DH73" s="508">
        <f t="shared" si="101"/>
        <v>0.35759897828863346</v>
      </c>
      <c r="DI73" s="508">
        <v>0.37550881953867027</v>
      </c>
      <c r="DJ73" s="509">
        <v>0.47126436781609193</v>
      </c>
      <c r="DK73" s="506">
        <v>4050</v>
      </c>
      <c r="DL73" s="507">
        <v>2866</v>
      </c>
      <c r="DM73" s="507">
        <v>2258</v>
      </c>
      <c r="DN73" s="507">
        <v>760</v>
      </c>
      <c r="DO73" s="507">
        <v>760</v>
      </c>
      <c r="DP73" s="508">
        <f t="shared" si="102"/>
        <v>0.26517794836008374</v>
      </c>
      <c r="DQ73" s="508">
        <f t="shared" si="103"/>
        <v>0.3365810451727192</v>
      </c>
      <c r="DR73" s="508">
        <v>0.35310537334263781</v>
      </c>
      <c r="DS73" s="509">
        <v>0.44818423383525241</v>
      </c>
      <c r="DT73" s="506">
        <v>4044</v>
      </c>
      <c r="DU73" s="507">
        <v>2823</v>
      </c>
      <c r="DV73" s="507">
        <v>2263</v>
      </c>
      <c r="DW73" s="507">
        <v>885</v>
      </c>
      <c r="DX73" s="507">
        <v>885</v>
      </c>
      <c r="DY73" s="508">
        <f t="shared" si="104"/>
        <v>0.31349628055260359</v>
      </c>
      <c r="DZ73" s="508">
        <f t="shared" si="105"/>
        <v>0.39107379584622182</v>
      </c>
      <c r="EA73" s="508">
        <v>0.37336167198016296</v>
      </c>
      <c r="EB73" s="509">
        <v>0.46575342465753422</v>
      </c>
    </row>
    <row r="74" spans="1:132" s="2" customFormat="1" x14ac:dyDescent="0.25">
      <c r="A74" s="557" t="s">
        <v>555</v>
      </c>
      <c r="B74" s="504" t="s">
        <v>262</v>
      </c>
      <c r="C74" s="527" t="s">
        <v>263</v>
      </c>
      <c r="D74" s="506">
        <v>317</v>
      </c>
      <c r="E74" s="507">
        <v>303</v>
      </c>
      <c r="F74" s="507">
        <v>269</v>
      </c>
      <c r="G74" s="507">
        <v>111</v>
      </c>
      <c r="H74" s="507">
        <v>107</v>
      </c>
      <c r="I74" s="508">
        <f t="shared" si="108"/>
        <v>0.36633663366336633</v>
      </c>
      <c r="J74" s="509">
        <f t="shared" si="109"/>
        <v>0.41263940520446096</v>
      </c>
      <c r="K74" s="506">
        <v>315</v>
      </c>
      <c r="L74" s="507">
        <v>294</v>
      </c>
      <c r="M74" s="507">
        <v>257</v>
      </c>
      <c r="N74" s="507">
        <v>97</v>
      </c>
      <c r="O74" s="507">
        <v>93</v>
      </c>
      <c r="P74" s="508">
        <f t="shared" si="64"/>
        <v>0.32993197278911562</v>
      </c>
      <c r="Q74" s="509">
        <f t="shared" si="65"/>
        <v>0.37743190661478598</v>
      </c>
      <c r="R74" s="506">
        <v>310</v>
      </c>
      <c r="S74" s="507">
        <v>294</v>
      </c>
      <c r="T74" s="507">
        <v>243</v>
      </c>
      <c r="U74" s="507">
        <v>90</v>
      </c>
      <c r="V74" s="507">
        <v>80</v>
      </c>
      <c r="W74" s="508">
        <f t="shared" si="106"/>
        <v>0.30612244897959184</v>
      </c>
      <c r="X74" s="509">
        <f t="shared" si="107"/>
        <v>0.37037037037037035</v>
      </c>
      <c r="Y74" s="506">
        <v>295</v>
      </c>
      <c r="Z74" s="507">
        <v>277</v>
      </c>
      <c r="AA74" s="507">
        <v>232</v>
      </c>
      <c r="AB74" s="507">
        <v>76</v>
      </c>
      <c r="AC74" s="507">
        <v>75</v>
      </c>
      <c r="AD74" s="508">
        <f t="shared" si="66"/>
        <v>0.27436823104693142</v>
      </c>
      <c r="AE74" s="509">
        <f t="shared" si="67"/>
        <v>0.32758620689655171</v>
      </c>
      <c r="AF74" s="506">
        <v>265</v>
      </c>
      <c r="AG74" s="507">
        <v>253</v>
      </c>
      <c r="AH74" s="507">
        <v>212</v>
      </c>
      <c r="AI74" s="507">
        <v>94</v>
      </c>
      <c r="AJ74" s="507">
        <v>88</v>
      </c>
      <c r="AK74" s="508">
        <f t="shared" si="68"/>
        <v>0.3715415019762846</v>
      </c>
      <c r="AL74" s="509">
        <f t="shared" si="69"/>
        <v>0.44339622641509435</v>
      </c>
      <c r="AM74" s="506">
        <v>240</v>
      </c>
      <c r="AN74" s="507">
        <v>226</v>
      </c>
      <c r="AO74" s="507">
        <v>202</v>
      </c>
      <c r="AP74" s="507">
        <v>87</v>
      </c>
      <c r="AQ74" s="507">
        <v>85</v>
      </c>
      <c r="AR74" s="508">
        <f t="shared" si="70"/>
        <v>0.38495575221238937</v>
      </c>
      <c r="AS74" s="509">
        <f t="shared" si="71"/>
        <v>0.43069306930693069</v>
      </c>
      <c r="AT74" s="506">
        <v>306</v>
      </c>
      <c r="AU74" s="507">
        <v>278</v>
      </c>
      <c r="AV74" s="507">
        <v>245</v>
      </c>
      <c r="AW74" s="507">
        <v>89</v>
      </c>
      <c r="AX74" s="507">
        <v>83</v>
      </c>
      <c r="AY74" s="508">
        <f t="shared" si="72"/>
        <v>0.32014388489208634</v>
      </c>
      <c r="AZ74" s="509">
        <f t="shared" si="73"/>
        <v>0.36326530612244901</v>
      </c>
      <c r="BA74" s="506">
        <v>247</v>
      </c>
      <c r="BB74" s="507">
        <v>229</v>
      </c>
      <c r="BC74" s="507">
        <v>190</v>
      </c>
      <c r="BD74" s="507">
        <v>85</v>
      </c>
      <c r="BE74" s="507">
        <v>78</v>
      </c>
      <c r="BF74" s="508">
        <f t="shared" si="74"/>
        <v>0.37117903930131002</v>
      </c>
      <c r="BG74" s="509">
        <f t="shared" si="75"/>
        <v>0.44736842105263158</v>
      </c>
      <c r="BH74" s="506">
        <v>245</v>
      </c>
      <c r="BI74" s="507">
        <v>220</v>
      </c>
      <c r="BJ74" s="507">
        <v>178</v>
      </c>
      <c r="BK74" s="507">
        <v>94</v>
      </c>
      <c r="BL74" s="507">
        <v>82</v>
      </c>
      <c r="BM74" s="508">
        <f t="shared" si="76"/>
        <v>0.42727272727272725</v>
      </c>
      <c r="BN74" s="509">
        <f t="shared" si="77"/>
        <v>0.5280898876404494</v>
      </c>
      <c r="BO74" s="506">
        <v>232</v>
      </c>
      <c r="BP74" s="507">
        <v>213</v>
      </c>
      <c r="BQ74" s="507">
        <v>185</v>
      </c>
      <c r="BR74" s="507">
        <v>87</v>
      </c>
      <c r="BS74" s="507">
        <v>78</v>
      </c>
      <c r="BT74" s="508">
        <f t="shared" si="78"/>
        <v>0.40845070422535212</v>
      </c>
      <c r="BU74" s="509">
        <f t="shared" si="79"/>
        <v>0.4702702702702703</v>
      </c>
      <c r="BV74" s="506">
        <v>320</v>
      </c>
      <c r="BW74" s="507">
        <v>250</v>
      </c>
      <c r="BX74" s="507">
        <v>197</v>
      </c>
      <c r="BY74" s="507">
        <v>82</v>
      </c>
      <c r="BZ74" s="507">
        <v>77</v>
      </c>
      <c r="CA74" s="508">
        <f t="shared" si="80"/>
        <v>0.32800000000000001</v>
      </c>
      <c r="CB74" s="509">
        <f t="shared" si="81"/>
        <v>0.41624365482233505</v>
      </c>
      <c r="CC74" s="506">
        <v>266</v>
      </c>
      <c r="CD74" s="507">
        <v>229</v>
      </c>
      <c r="CE74" s="507">
        <v>200</v>
      </c>
      <c r="CF74" s="507">
        <v>69</v>
      </c>
      <c r="CG74" s="507">
        <v>69</v>
      </c>
      <c r="CH74" s="508">
        <f t="shared" si="82"/>
        <v>0.30131004366812225</v>
      </c>
      <c r="CI74" s="509">
        <f t="shared" si="83"/>
        <v>0.34499999999999997</v>
      </c>
      <c r="CJ74" s="506">
        <v>341</v>
      </c>
      <c r="CK74" s="507">
        <v>275</v>
      </c>
      <c r="CL74" s="507">
        <v>259</v>
      </c>
      <c r="CM74" s="507">
        <v>95</v>
      </c>
      <c r="CN74" s="507">
        <v>79</v>
      </c>
      <c r="CO74" s="508">
        <f t="shared" si="96"/>
        <v>0.34545454545454546</v>
      </c>
      <c r="CP74" s="508">
        <f t="shared" si="97"/>
        <v>0.36679536679536678</v>
      </c>
      <c r="CQ74" s="508">
        <v>0.34545454545454546</v>
      </c>
      <c r="CR74" s="509">
        <v>0.36679536679536678</v>
      </c>
      <c r="CS74" s="506">
        <v>327</v>
      </c>
      <c r="CT74" s="507">
        <v>259</v>
      </c>
      <c r="CU74" s="507">
        <v>242</v>
      </c>
      <c r="CV74" s="507">
        <v>84</v>
      </c>
      <c r="CW74" s="507">
        <v>77</v>
      </c>
      <c r="CX74" s="508">
        <f t="shared" si="98"/>
        <v>0.32432432432432434</v>
      </c>
      <c r="CY74" s="508">
        <f t="shared" si="99"/>
        <v>0.34710743801652894</v>
      </c>
      <c r="CZ74" s="508">
        <v>0.32432432432432434</v>
      </c>
      <c r="DA74" s="509">
        <v>0.34710743801652894</v>
      </c>
      <c r="DB74" s="506">
        <v>373</v>
      </c>
      <c r="DC74" s="507">
        <v>317</v>
      </c>
      <c r="DD74" s="507">
        <v>296</v>
      </c>
      <c r="DE74" s="507">
        <v>94</v>
      </c>
      <c r="DF74" s="507">
        <v>87</v>
      </c>
      <c r="DG74" s="508">
        <f t="shared" si="100"/>
        <v>0.29652996845425866</v>
      </c>
      <c r="DH74" s="508">
        <f t="shared" si="101"/>
        <v>0.31756756756756754</v>
      </c>
      <c r="DI74" s="508">
        <v>0.29652996845425866</v>
      </c>
      <c r="DJ74" s="509">
        <v>0.31756756756756754</v>
      </c>
      <c r="DK74" s="506">
        <v>419</v>
      </c>
      <c r="DL74" s="507">
        <v>340</v>
      </c>
      <c r="DM74" s="507">
        <v>324</v>
      </c>
      <c r="DN74" s="507">
        <v>99</v>
      </c>
      <c r="DO74" s="507">
        <v>96</v>
      </c>
      <c r="DP74" s="508">
        <f t="shared" si="102"/>
        <v>0.29117647058823531</v>
      </c>
      <c r="DQ74" s="508">
        <f t="shared" si="103"/>
        <v>0.30555555555555558</v>
      </c>
      <c r="DR74" s="508">
        <v>0.29117647058823531</v>
      </c>
      <c r="DS74" s="509">
        <v>0.30555555555555558</v>
      </c>
      <c r="DT74" s="506">
        <v>378</v>
      </c>
      <c r="DU74" s="507">
        <v>317</v>
      </c>
      <c r="DV74" s="507">
        <v>310</v>
      </c>
      <c r="DW74" s="507">
        <v>110</v>
      </c>
      <c r="DX74" s="507">
        <v>99</v>
      </c>
      <c r="DY74" s="508">
        <f t="shared" si="104"/>
        <v>0.3470031545741325</v>
      </c>
      <c r="DZ74" s="508">
        <f t="shared" si="105"/>
        <v>0.35483870967741937</v>
      </c>
      <c r="EA74" s="508">
        <v>0.3470031545741325</v>
      </c>
      <c r="EB74" s="509">
        <v>0.35483870967741937</v>
      </c>
    </row>
    <row r="75" spans="1:132" s="2" customFormat="1" x14ac:dyDescent="0.25">
      <c r="A75" s="511" t="s">
        <v>555</v>
      </c>
      <c r="B75" s="512" t="s">
        <v>264</v>
      </c>
      <c r="C75" s="532" t="s">
        <v>199</v>
      </c>
      <c r="D75" s="514" t="s">
        <v>21</v>
      </c>
      <c r="E75" s="515" t="s">
        <v>21</v>
      </c>
      <c r="F75" s="515" t="s">
        <v>21</v>
      </c>
      <c r="G75" s="515" t="s">
        <v>21</v>
      </c>
      <c r="H75" s="515" t="s">
        <v>21</v>
      </c>
      <c r="I75" s="516" t="s">
        <v>67</v>
      </c>
      <c r="J75" s="517" t="s">
        <v>67</v>
      </c>
      <c r="K75" s="514" t="s">
        <v>67</v>
      </c>
      <c r="L75" s="515" t="s">
        <v>67</v>
      </c>
      <c r="M75" s="515" t="s">
        <v>67</v>
      </c>
      <c r="N75" s="515" t="s">
        <v>67</v>
      </c>
      <c r="O75" s="515" t="s">
        <v>67</v>
      </c>
      <c r="P75" s="516" t="s">
        <v>67</v>
      </c>
      <c r="Q75" s="517" t="s">
        <v>67</v>
      </c>
      <c r="R75" s="514" t="s">
        <v>67</v>
      </c>
      <c r="S75" s="515" t="s">
        <v>67</v>
      </c>
      <c r="T75" s="515" t="s">
        <v>67</v>
      </c>
      <c r="U75" s="515" t="s">
        <v>67</v>
      </c>
      <c r="V75" s="515" t="s">
        <v>67</v>
      </c>
      <c r="W75" s="516" t="s">
        <v>67</v>
      </c>
      <c r="X75" s="517" t="s">
        <v>67</v>
      </c>
      <c r="Y75" s="514" t="s">
        <v>67</v>
      </c>
      <c r="Z75" s="515" t="s">
        <v>67</v>
      </c>
      <c r="AA75" s="515" t="s">
        <v>67</v>
      </c>
      <c r="AB75" s="515" t="s">
        <v>67</v>
      </c>
      <c r="AC75" s="515" t="s">
        <v>67</v>
      </c>
      <c r="AD75" s="516" t="s">
        <v>67</v>
      </c>
      <c r="AE75" s="517" t="s">
        <v>67</v>
      </c>
      <c r="AF75" s="514" t="s">
        <v>67</v>
      </c>
      <c r="AG75" s="515" t="s">
        <v>67</v>
      </c>
      <c r="AH75" s="515" t="s">
        <v>67</v>
      </c>
      <c r="AI75" s="515" t="s">
        <v>67</v>
      </c>
      <c r="AJ75" s="515" t="s">
        <v>67</v>
      </c>
      <c r="AK75" s="516" t="s">
        <v>67</v>
      </c>
      <c r="AL75" s="517" t="s">
        <v>67</v>
      </c>
      <c r="AM75" s="514" t="s">
        <v>67</v>
      </c>
      <c r="AN75" s="515" t="s">
        <v>67</v>
      </c>
      <c r="AO75" s="515" t="s">
        <v>67</v>
      </c>
      <c r="AP75" s="515" t="s">
        <v>67</v>
      </c>
      <c r="AQ75" s="515" t="s">
        <v>67</v>
      </c>
      <c r="AR75" s="516" t="s">
        <v>67</v>
      </c>
      <c r="AS75" s="517" t="s">
        <v>67</v>
      </c>
      <c r="AT75" s="514" t="s">
        <v>67</v>
      </c>
      <c r="AU75" s="515" t="s">
        <v>67</v>
      </c>
      <c r="AV75" s="515" t="s">
        <v>67</v>
      </c>
      <c r="AW75" s="515" t="s">
        <v>67</v>
      </c>
      <c r="AX75" s="515" t="s">
        <v>67</v>
      </c>
      <c r="AY75" s="516" t="s">
        <v>67</v>
      </c>
      <c r="AZ75" s="517" t="s">
        <v>67</v>
      </c>
      <c r="BA75" s="514" t="s">
        <v>67</v>
      </c>
      <c r="BB75" s="515" t="s">
        <v>67</v>
      </c>
      <c r="BC75" s="515" t="s">
        <v>67</v>
      </c>
      <c r="BD75" s="515" t="s">
        <v>67</v>
      </c>
      <c r="BE75" s="515" t="s">
        <v>67</v>
      </c>
      <c r="BF75" s="516" t="s">
        <v>67</v>
      </c>
      <c r="BG75" s="517" t="s">
        <v>67</v>
      </c>
      <c r="BH75" s="514" t="s">
        <v>67</v>
      </c>
      <c r="BI75" s="515" t="s">
        <v>67</v>
      </c>
      <c r="BJ75" s="515" t="s">
        <v>67</v>
      </c>
      <c r="BK75" s="515" t="s">
        <v>67</v>
      </c>
      <c r="BL75" s="515" t="s">
        <v>67</v>
      </c>
      <c r="BM75" s="516" t="s">
        <v>67</v>
      </c>
      <c r="BN75" s="517" t="s">
        <v>67</v>
      </c>
      <c r="BO75" s="514" t="s">
        <v>67</v>
      </c>
      <c r="BP75" s="515" t="s">
        <v>67</v>
      </c>
      <c r="BQ75" s="515" t="s">
        <v>67</v>
      </c>
      <c r="BR75" s="515" t="s">
        <v>67</v>
      </c>
      <c r="BS75" s="515" t="s">
        <v>67</v>
      </c>
      <c r="BT75" s="516" t="s">
        <v>67</v>
      </c>
      <c r="BU75" s="517" t="s">
        <v>67</v>
      </c>
      <c r="BV75" s="514" t="s">
        <v>67</v>
      </c>
      <c r="BW75" s="515" t="s">
        <v>67</v>
      </c>
      <c r="BX75" s="515" t="s">
        <v>67</v>
      </c>
      <c r="BY75" s="515" t="s">
        <v>67</v>
      </c>
      <c r="BZ75" s="515" t="s">
        <v>67</v>
      </c>
      <c r="CA75" s="516" t="s">
        <v>67</v>
      </c>
      <c r="CB75" s="517" t="s">
        <v>67</v>
      </c>
      <c r="CC75" s="514" t="s">
        <v>67</v>
      </c>
      <c r="CD75" s="515" t="s">
        <v>67</v>
      </c>
      <c r="CE75" s="515" t="s">
        <v>67</v>
      </c>
      <c r="CF75" s="515" t="s">
        <v>67</v>
      </c>
      <c r="CG75" s="515" t="s">
        <v>67</v>
      </c>
      <c r="CH75" s="516" t="s">
        <v>67</v>
      </c>
      <c r="CI75" s="517" t="s">
        <v>67</v>
      </c>
      <c r="CJ75" s="514" t="s">
        <v>67</v>
      </c>
      <c r="CK75" s="515" t="s">
        <v>67</v>
      </c>
      <c r="CL75" s="515" t="s">
        <v>67</v>
      </c>
      <c r="CM75" s="515" t="s">
        <v>67</v>
      </c>
      <c r="CN75" s="515" t="s">
        <v>67</v>
      </c>
      <c r="CO75" s="516" t="s">
        <v>67</v>
      </c>
      <c r="CP75" s="516" t="s">
        <v>67</v>
      </c>
      <c r="CQ75" s="516" t="s">
        <v>67</v>
      </c>
      <c r="CR75" s="517" t="s">
        <v>67</v>
      </c>
      <c r="CS75" s="514" t="s">
        <v>67</v>
      </c>
      <c r="CT75" s="515" t="s">
        <v>67</v>
      </c>
      <c r="CU75" s="515" t="s">
        <v>67</v>
      </c>
      <c r="CV75" s="515" t="s">
        <v>67</v>
      </c>
      <c r="CW75" s="515" t="s">
        <v>67</v>
      </c>
      <c r="CX75" s="516" t="s">
        <v>67</v>
      </c>
      <c r="CY75" s="516" t="s">
        <v>67</v>
      </c>
      <c r="CZ75" s="516" t="s">
        <v>67</v>
      </c>
      <c r="DA75" s="517" t="s">
        <v>67</v>
      </c>
      <c r="DB75" s="514" t="s">
        <v>67</v>
      </c>
      <c r="DC75" s="515" t="s">
        <v>67</v>
      </c>
      <c r="DD75" s="515" t="s">
        <v>67</v>
      </c>
      <c r="DE75" s="515" t="s">
        <v>67</v>
      </c>
      <c r="DF75" s="515" t="s">
        <v>67</v>
      </c>
      <c r="DG75" s="516" t="s">
        <v>67</v>
      </c>
      <c r="DH75" s="516" t="s">
        <v>67</v>
      </c>
      <c r="DI75" s="516" t="s">
        <v>67</v>
      </c>
      <c r="DJ75" s="517" t="s">
        <v>67</v>
      </c>
      <c r="DK75" s="514" t="s">
        <v>67</v>
      </c>
      <c r="DL75" s="515" t="s">
        <v>67</v>
      </c>
      <c r="DM75" s="515" t="s">
        <v>67</v>
      </c>
      <c r="DN75" s="515" t="s">
        <v>67</v>
      </c>
      <c r="DO75" s="515" t="s">
        <v>67</v>
      </c>
      <c r="DP75" s="516" t="s">
        <v>67</v>
      </c>
      <c r="DQ75" s="516" t="s">
        <v>67</v>
      </c>
      <c r="DR75" s="516" t="s">
        <v>67</v>
      </c>
      <c r="DS75" s="517" t="s">
        <v>67</v>
      </c>
      <c r="DT75" s="514" t="s">
        <v>67</v>
      </c>
      <c r="DU75" s="515" t="s">
        <v>67</v>
      </c>
      <c r="DV75" s="515" t="s">
        <v>67</v>
      </c>
      <c r="DW75" s="515" t="s">
        <v>67</v>
      </c>
      <c r="DX75" s="515" t="s">
        <v>67</v>
      </c>
      <c r="DY75" s="516" t="s">
        <v>67</v>
      </c>
      <c r="DZ75" s="516" t="s">
        <v>67</v>
      </c>
      <c r="EA75" s="516" t="s">
        <v>67</v>
      </c>
      <c r="EB75" s="517" t="s">
        <v>67</v>
      </c>
    </row>
    <row r="76" spans="1:132" s="2" customFormat="1" x14ac:dyDescent="0.25">
      <c r="A76" s="551" t="s">
        <v>265</v>
      </c>
      <c r="B76" s="489" t="s">
        <v>266</v>
      </c>
      <c r="C76" s="564"/>
      <c r="D76" s="558">
        <v>10709</v>
      </c>
      <c r="E76" s="559">
        <v>8265</v>
      </c>
      <c r="F76" s="559">
        <v>6745</v>
      </c>
      <c r="G76" s="559">
        <v>3048</v>
      </c>
      <c r="H76" s="560">
        <v>2300</v>
      </c>
      <c r="I76" s="561">
        <f t="shared" si="108"/>
        <v>0.36878402903811253</v>
      </c>
      <c r="J76" s="562">
        <f t="shared" si="109"/>
        <v>0.4518902891030393</v>
      </c>
      <c r="K76" s="558">
        <v>11748</v>
      </c>
      <c r="L76" s="559">
        <v>8830</v>
      </c>
      <c r="M76" s="559">
        <v>7086</v>
      </c>
      <c r="N76" s="559">
        <v>3376</v>
      </c>
      <c r="O76" s="560">
        <v>2451</v>
      </c>
      <c r="P76" s="561">
        <f t="shared" ref="P76:P130" si="110">N76/L76</f>
        <v>0.38233295583238958</v>
      </c>
      <c r="Q76" s="562">
        <f t="shared" ref="Q76:Q130" si="111">N76/M76</f>
        <v>0.47643240191927744</v>
      </c>
      <c r="R76" s="558">
        <v>12203</v>
      </c>
      <c r="S76" s="559">
        <v>9163</v>
      </c>
      <c r="T76" s="559">
        <v>7659</v>
      </c>
      <c r="U76" s="559">
        <v>3562</v>
      </c>
      <c r="V76" s="560">
        <v>2724</v>
      </c>
      <c r="W76" s="561">
        <f t="shared" si="106"/>
        <v>0.388737313107061</v>
      </c>
      <c r="X76" s="562">
        <f t="shared" si="107"/>
        <v>0.46507376942159551</v>
      </c>
      <c r="Y76" s="558">
        <v>11855</v>
      </c>
      <c r="Z76" s="559">
        <v>8697</v>
      </c>
      <c r="AA76" s="559">
        <v>7326</v>
      </c>
      <c r="AB76" s="559">
        <v>3675</v>
      </c>
      <c r="AC76" s="560">
        <v>2767</v>
      </c>
      <c r="AD76" s="561">
        <f t="shared" ref="AD76:AD130" si="112">AB76/Z76</f>
        <v>0.42255950327699204</v>
      </c>
      <c r="AE76" s="562">
        <f t="shared" ref="AE76:AE130" si="113">AB76/AA76</f>
        <v>0.50163800163800165</v>
      </c>
      <c r="AF76" s="558">
        <v>10597</v>
      </c>
      <c r="AG76" s="559">
        <v>7765</v>
      </c>
      <c r="AH76" s="559">
        <v>6550</v>
      </c>
      <c r="AI76" s="559">
        <v>3215</v>
      </c>
      <c r="AJ76" s="560">
        <v>2450</v>
      </c>
      <c r="AK76" s="561">
        <f t="shared" ref="AK76:AK101" si="114">AI76/AG76</f>
        <v>0.41403734707018675</v>
      </c>
      <c r="AL76" s="562">
        <f t="shared" ref="AL76:AL101" si="115">AI76/AH76</f>
        <v>0.49083969465648852</v>
      </c>
      <c r="AM76" s="558">
        <v>9410</v>
      </c>
      <c r="AN76" s="559">
        <v>6823</v>
      </c>
      <c r="AO76" s="559">
        <v>5756</v>
      </c>
      <c r="AP76" s="559">
        <v>2502</v>
      </c>
      <c r="AQ76" s="560">
        <v>1823</v>
      </c>
      <c r="AR76" s="561">
        <f t="shared" ref="AR76:AR101" si="116">AP76/AN76</f>
        <v>0.36670086472226293</v>
      </c>
      <c r="AS76" s="562">
        <f t="shared" ref="AS76:AS101" si="117">AP76/AO76</f>
        <v>0.43467685892981239</v>
      </c>
      <c r="AT76" s="558">
        <v>8243</v>
      </c>
      <c r="AU76" s="559">
        <v>5932</v>
      </c>
      <c r="AV76" s="559">
        <v>4960</v>
      </c>
      <c r="AW76" s="559">
        <v>2484</v>
      </c>
      <c r="AX76" s="560">
        <v>1842</v>
      </c>
      <c r="AY76" s="561">
        <f t="shared" ref="AY76:AY101" si="118">AW76/AU76</f>
        <v>0.41874578556979097</v>
      </c>
      <c r="AZ76" s="562">
        <f t="shared" ref="AZ76:AZ101" si="119">AW76/AV76</f>
        <v>0.50080645161290327</v>
      </c>
      <c r="BA76" s="558">
        <v>7081</v>
      </c>
      <c r="BB76" s="559">
        <v>5116</v>
      </c>
      <c r="BC76" s="559">
        <v>4257</v>
      </c>
      <c r="BD76" s="559">
        <v>2375</v>
      </c>
      <c r="BE76" s="560">
        <v>1782</v>
      </c>
      <c r="BF76" s="561">
        <f t="shared" ref="BF76:BF101" si="120">BD76/BB76</f>
        <v>0.4642298670836591</v>
      </c>
      <c r="BG76" s="562">
        <f t="shared" ref="BG76:BG101" si="121">BD76/BC76</f>
        <v>0.5579046276720695</v>
      </c>
      <c r="BH76" s="558">
        <v>6210</v>
      </c>
      <c r="BI76" s="559">
        <v>4625</v>
      </c>
      <c r="BJ76" s="559">
        <v>3737</v>
      </c>
      <c r="BK76" s="559">
        <v>2137</v>
      </c>
      <c r="BL76" s="560">
        <v>1688</v>
      </c>
      <c r="BM76" s="561">
        <f t="shared" ref="BM76:BM112" si="122">BK76/BI76</f>
        <v>0.46205405405405403</v>
      </c>
      <c r="BN76" s="562">
        <f t="shared" ref="BN76:BN112" si="123">BK76/BJ76</f>
        <v>0.57184907679957186</v>
      </c>
      <c r="BO76" s="558">
        <v>6015</v>
      </c>
      <c r="BP76" s="559">
        <v>4512</v>
      </c>
      <c r="BQ76" s="559">
        <v>3483</v>
      </c>
      <c r="BR76" s="559">
        <v>2254</v>
      </c>
      <c r="BS76" s="560">
        <v>1844</v>
      </c>
      <c r="BT76" s="561">
        <f t="shared" ref="BT76:BT112" si="124">BR76/BP76</f>
        <v>0.49955673758865249</v>
      </c>
      <c r="BU76" s="562">
        <f t="shared" ref="BU76:BU112" si="125">BR76/BQ76</f>
        <v>0.64714326729830607</v>
      </c>
      <c r="BV76" s="558">
        <v>5887</v>
      </c>
      <c r="BW76" s="559">
        <v>4399</v>
      </c>
      <c r="BX76" s="559">
        <v>3526</v>
      </c>
      <c r="BY76" s="559">
        <v>2348</v>
      </c>
      <c r="BZ76" s="560">
        <v>1925</v>
      </c>
      <c r="CA76" s="561">
        <f t="shared" ref="CA76:CA112" si="126">BY76/BW76</f>
        <v>0.5337576721982269</v>
      </c>
      <c r="CB76" s="562">
        <f t="shared" ref="CB76:CB112" si="127">BY76/BX76</f>
        <v>0.66591038003403291</v>
      </c>
      <c r="CC76" s="558">
        <v>6251</v>
      </c>
      <c r="CD76" s="559">
        <v>4670</v>
      </c>
      <c r="CE76" s="559">
        <v>4057</v>
      </c>
      <c r="CF76" s="559">
        <v>2680</v>
      </c>
      <c r="CG76" s="560">
        <v>1847</v>
      </c>
      <c r="CH76" s="561">
        <f t="shared" ref="CH76:CH80" si="128">CF76/CD76</f>
        <v>0.57387580299785867</v>
      </c>
      <c r="CI76" s="562">
        <f t="shared" ref="CI76:CI80" si="129">CF76/CE76</f>
        <v>0.66058664037466108</v>
      </c>
      <c r="CJ76" s="558">
        <v>6294</v>
      </c>
      <c r="CK76" s="559">
        <v>4697</v>
      </c>
      <c r="CL76" s="559">
        <v>4164</v>
      </c>
      <c r="CM76" s="559">
        <v>2624</v>
      </c>
      <c r="CN76" s="560">
        <v>1920</v>
      </c>
      <c r="CO76" s="561">
        <f t="shared" ref="CO76:CO80" si="130">CM76/CK76</f>
        <v>0.55865446029380461</v>
      </c>
      <c r="CP76" s="664">
        <f t="shared" ref="CP76:CP80" si="131">CM76/CL76</f>
        <v>0.63016330451488956</v>
      </c>
      <c r="CQ76" s="561">
        <v>0.5899510325739834</v>
      </c>
      <c r="CR76" s="562">
        <v>0.66546589817483193</v>
      </c>
      <c r="CS76" s="558">
        <v>6376</v>
      </c>
      <c r="CT76" s="559">
        <v>4626</v>
      </c>
      <c r="CU76" s="559">
        <v>3815</v>
      </c>
      <c r="CV76" s="559">
        <v>2315</v>
      </c>
      <c r="CW76" s="560">
        <v>1788</v>
      </c>
      <c r="CX76" s="561">
        <f t="shared" ref="CX76:CX80" si="132">CV76/CT76</f>
        <v>0.50043233895373973</v>
      </c>
      <c r="CY76" s="664">
        <f t="shared" ref="CY76:CY80" si="133">CV76/CU76</f>
        <v>0.60681520314547832</v>
      </c>
      <c r="CZ76" s="561">
        <v>0.54907047124945962</v>
      </c>
      <c r="DA76" s="562">
        <v>0.66579292267365664</v>
      </c>
      <c r="DB76" s="558">
        <v>7258</v>
      </c>
      <c r="DC76" s="559">
        <v>5142</v>
      </c>
      <c r="DD76" s="559">
        <v>4313</v>
      </c>
      <c r="DE76" s="559">
        <v>2276</v>
      </c>
      <c r="DF76" s="560">
        <v>1805</v>
      </c>
      <c r="DG76" s="561">
        <f t="shared" ref="DG76:DG80" si="134">DE76/DC76</f>
        <v>0.44262932711007391</v>
      </c>
      <c r="DH76" s="664">
        <f t="shared" ref="DH76:DH80" si="135">DE76/DD76</f>
        <v>0.5277069325295618</v>
      </c>
      <c r="DI76" s="561">
        <v>0.49727732399844421</v>
      </c>
      <c r="DJ76" s="562">
        <v>0.59285879897982841</v>
      </c>
      <c r="DK76" s="558">
        <v>7666</v>
      </c>
      <c r="DL76" s="559">
        <v>5209</v>
      </c>
      <c r="DM76" s="559">
        <v>4312</v>
      </c>
      <c r="DN76" s="559">
        <v>2388</v>
      </c>
      <c r="DO76" s="560">
        <v>1883</v>
      </c>
      <c r="DP76" s="561">
        <f t="shared" ref="DP76:DP80" si="136">DN76/DL76</f>
        <v>0.45843732002303705</v>
      </c>
      <c r="DQ76" s="664">
        <f t="shared" ref="DQ76:DQ80" si="137">DN76/DM76</f>
        <v>0.55380333951762528</v>
      </c>
      <c r="DR76" s="561">
        <v>0.50143981570358998</v>
      </c>
      <c r="DS76" s="562">
        <v>0.60575139146567714</v>
      </c>
      <c r="DT76" s="558">
        <v>7716</v>
      </c>
      <c r="DU76" s="559">
        <v>5177</v>
      </c>
      <c r="DV76" s="559">
        <v>4193</v>
      </c>
      <c r="DW76" s="559">
        <v>2486</v>
      </c>
      <c r="DX76" s="560">
        <v>1934</v>
      </c>
      <c r="DY76" s="561">
        <f t="shared" ref="DY76:DY80" si="138">DW76/DU76</f>
        <v>0.48020088854548965</v>
      </c>
      <c r="DZ76" s="664">
        <f t="shared" ref="DZ76:DZ80" si="139">DW76/DV76</f>
        <v>0.59289291676603861</v>
      </c>
      <c r="EA76" s="561">
        <v>0.52540081128066451</v>
      </c>
      <c r="EB76" s="562">
        <v>0.6487002146434534</v>
      </c>
    </row>
    <row r="77" spans="1:132" s="2" customFormat="1" x14ac:dyDescent="0.25">
      <c r="A77" s="554" t="s">
        <v>265</v>
      </c>
      <c r="B77" s="497" t="s">
        <v>267</v>
      </c>
      <c r="C77" s="556" t="s">
        <v>231</v>
      </c>
      <c r="D77" s="499">
        <v>5468</v>
      </c>
      <c r="E77" s="500">
        <v>4215</v>
      </c>
      <c r="F77" s="500">
        <v>3460</v>
      </c>
      <c r="G77" s="500">
        <v>1662</v>
      </c>
      <c r="H77" s="500">
        <v>1289</v>
      </c>
      <c r="I77" s="501">
        <f t="shared" si="108"/>
        <v>0.39430604982206408</v>
      </c>
      <c r="J77" s="502">
        <f t="shared" si="109"/>
        <v>0.48034682080924856</v>
      </c>
      <c r="K77" s="499">
        <v>6877</v>
      </c>
      <c r="L77" s="500">
        <v>5156</v>
      </c>
      <c r="M77" s="500">
        <v>4097</v>
      </c>
      <c r="N77" s="500">
        <v>1827</v>
      </c>
      <c r="O77" s="500">
        <v>1274</v>
      </c>
      <c r="P77" s="501">
        <f t="shared" si="110"/>
        <v>0.354344453064391</v>
      </c>
      <c r="Q77" s="502">
        <f t="shared" si="111"/>
        <v>0.44593605076885529</v>
      </c>
      <c r="R77" s="499">
        <v>6188</v>
      </c>
      <c r="S77" s="500">
        <v>4850</v>
      </c>
      <c r="T77" s="500">
        <v>3841</v>
      </c>
      <c r="U77" s="500">
        <v>1486</v>
      </c>
      <c r="V77" s="500">
        <v>1233</v>
      </c>
      <c r="W77" s="501">
        <f t="shared" si="106"/>
        <v>0.3063917525773196</v>
      </c>
      <c r="X77" s="502">
        <f t="shared" si="107"/>
        <v>0.38687841707888571</v>
      </c>
      <c r="Y77" s="499">
        <v>5957</v>
      </c>
      <c r="Z77" s="500">
        <v>4556</v>
      </c>
      <c r="AA77" s="500">
        <v>3655</v>
      </c>
      <c r="AB77" s="500">
        <v>1269</v>
      </c>
      <c r="AC77" s="500">
        <v>1004</v>
      </c>
      <c r="AD77" s="501">
        <f t="shared" si="112"/>
        <v>0.27853380158033364</v>
      </c>
      <c r="AE77" s="502">
        <f t="shared" si="113"/>
        <v>0.3471956224350205</v>
      </c>
      <c r="AF77" s="499">
        <v>5454</v>
      </c>
      <c r="AG77" s="500">
        <v>4136</v>
      </c>
      <c r="AH77" s="500">
        <v>3371</v>
      </c>
      <c r="AI77" s="500">
        <v>1078</v>
      </c>
      <c r="AJ77" s="500">
        <v>900</v>
      </c>
      <c r="AK77" s="501">
        <f t="shared" si="114"/>
        <v>0.26063829787234044</v>
      </c>
      <c r="AL77" s="502">
        <f t="shared" si="115"/>
        <v>0.31978641352714327</v>
      </c>
      <c r="AM77" s="499">
        <v>5000</v>
      </c>
      <c r="AN77" s="500">
        <v>3807</v>
      </c>
      <c r="AO77" s="500">
        <v>3053</v>
      </c>
      <c r="AP77" s="500">
        <v>1031</v>
      </c>
      <c r="AQ77" s="500">
        <v>777</v>
      </c>
      <c r="AR77" s="501">
        <f t="shared" si="116"/>
        <v>0.27081691620698711</v>
      </c>
      <c r="AS77" s="502">
        <f t="shared" si="117"/>
        <v>0.33770062233868325</v>
      </c>
      <c r="AT77" s="499">
        <v>4537</v>
      </c>
      <c r="AU77" s="500">
        <v>3377</v>
      </c>
      <c r="AV77" s="500">
        <v>2686</v>
      </c>
      <c r="AW77" s="500">
        <v>956</v>
      </c>
      <c r="AX77" s="500">
        <v>780</v>
      </c>
      <c r="AY77" s="501">
        <f t="shared" si="118"/>
        <v>0.28309150133254368</v>
      </c>
      <c r="AZ77" s="502">
        <f t="shared" si="119"/>
        <v>0.35591958302308263</v>
      </c>
      <c r="BA77" s="499">
        <v>3742</v>
      </c>
      <c r="BB77" s="500">
        <v>2792</v>
      </c>
      <c r="BC77" s="500">
        <v>2203</v>
      </c>
      <c r="BD77" s="500">
        <v>906</v>
      </c>
      <c r="BE77" s="500">
        <v>728</v>
      </c>
      <c r="BF77" s="501">
        <f t="shared" si="120"/>
        <v>0.32449856733524357</v>
      </c>
      <c r="BG77" s="502">
        <f t="shared" si="121"/>
        <v>0.41125737630503856</v>
      </c>
      <c r="BH77" s="499">
        <v>3381</v>
      </c>
      <c r="BI77" s="500">
        <v>2601</v>
      </c>
      <c r="BJ77" s="500">
        <v>2063</v>
      </c>
      <c r="BK77" s="500">
        <v>943</v>
      </c>
      <c r="BL77" s="500">
        <v>736</v>
      </c>
      <c r="BM77" s="501">
        <f t="shared" si="122"/>
        <v>0.36255286428296807</v>
      </c>
      <c r="BN77" s="502">
        <f t="shared" si="123"/>
        <v>0.45710130877363064</v>
      </c>
      <c r="BO77" s="499">
        <v>3138</v>
      </c>
      <c r="BP77" s="500">
        <v>2433</v>
      </c>
      <c r="BQ77" s="500">
        <v>1795</v>
      </c>
      <c r="BR77" s="500">
        <v>1013</v>
      </c>
      <c r="BS77" s="500">
        <v>853</v>
      </c>
      <c r="BT77" s="501">
        <f t="shared" si="124"/>
        <v>0.41635840526099466</v>
      </c>
      <c r="BU77" s="502">
        <f t="shared" si="125"/>
        <v>0.56434540389972143</v>
      </c>
      <c r="BV77" s="499">
        <v>3158</v>
      </c>
      <c r="BW77" s="500">
        <v>2437</v>
      </c>
      <c r="BX77" s="500">
        <v>1889</v>
      </c>
      <c r="BY77" s="500">
        <v>1003</v>
      </c>
      <c r="BZ77" s="500">
        <v>819</v>
      </c>
      <c r="CA77" s="501">
        <f t="shared" si="126"/>
        <v>0.41157160443167828</v>
      </c>
      <c r="CB77" s="502">
        <f t="shared" si="127"/>
        <v>0.53096876654314451</v>
      </c>
      <c r="CC77" s="499">
        <v>3427</v>
      </c>
      <c r="CD77" s="500">
        <v>2653</v>
      </c>
      <c r="CE77" s="500">
        <v>2248</v>
      </c>
      <c r="CF77" s="500">
        <v>1110</v>
      </c>
      <c r="CG77" s="500">
        <v>802</v>
      </c>
      <c r="CH77" s="501">
        <f t="shared" si="128"/>
        <v>0.41839427063701468</v>
      </c>
      <c r="CI77" s="502">
        <f t="shared" si="129"/>
        <v>0.49377224199288255</v>
      </c>
      <c r="CJ77" s="499">
        <v>3638</v>
      </c>
      <c r="CK77" s="500">
        <v>2829</v>
      </c>
      <c r="CL77" s="500">
        <v>2381</v>
      </c>
      <c r="CM77" s="500">
        <v>1128</v>
      </c>
      <c r="CN77" s="500">
        <v>825</v>
      </c>
      <c r="CO77" s="501">
        <f t="shared" si="130"/>
        <v>0.39872746553552491</v>
      </c>
      <c r="CP77" s="501">
        <f t="shared" si="131"/>
        <v>0.47375052498950021</v>
      </c>
      <c r="CQ77" s="501">
        <v>0.40544361965358783</v>
      </c>
      <c r="CR77" s="502">
        <v>0.48173036539269215</v>
      </c>
      <c r="CS77" s="499">
        <v>3569</v>
      </c>
      <c r="CT77" s="500">
        <v>2679</v>
      </c>
      <c r="CU77" s="500">
        <v>2085</v>
      </c>
      <c r="CV77" s="500">
        <v>980</v>
      </c>
      <c r="CW77" s="500">
        <v>806</v>
      </c>
      <c r="CX77" s="501">
        <f t="shared" si="132"/>
        <v>0.36580813736468831</v>
      </c>
      <c r="CY77" s="501">
        <f t="shared" si="133"/>
        <v>0.47002398081534774</v>
      </c>
      <c r="CZ77" s="501">
        <v>0.3960432997387085</v>
      </c>
      <c r="DA77" s="502">
        <v>0.50887290167865706</v>
      </c>
      <c r="DB77" s="499">
        <v>4200</v>
      </c>
      <c r="DC77" s="500">
        <v>3089</v>
      </c>
      <c r="DD77" s="500">
        <v>2541</v>
      </c>
      <c r="DE77" s="500">
        <v>953</v>
      </c>
      <c r="DF77" s="500">
        <v>805</v>
      </c>
      <c r="DG77" s="501">
        <f t="shared" si="134"/>
        <v>0.30851408222725801</v>
      </c>
      <c r="DH77" s="501">
        <f t="shared" si="135"/>
        <v>0.37504919323101144</v>
      </c>
      <c r="DI77" s="501">
        <v>0.34898025250890258</v>
      </c>
      <c r="DJ77" s="502">
        <v>0.42424242424242425</v>
      </c>
      <c r="DK77" s="499">
        <v>4456</v>
      </c>
      <c r="DL77" s="500">
        <v>3131</v>
      </c>
      <c r="DM77" s="500">
        <v>2456</v>
      </c>
      <c r="DN77" s="500">
        <v>1025</v>
      </c>
      <c r="DO77" s="500">
        <v>843</v>
      </c>
      <c r="DP77" s="501">
        <f t="shared" si="136"/>
        <v>0.32737144682210156</v>
      </c>
      <c r="DQ77" s="501">
        <f t="shared" si="137"/>
        <v>0.41734527687296419</v>
      </c>
      <c r="DR77" s="501">
        <v>0.3557968700095816</v>
      </c>
      <c r="DS77" s="502">
        <v>0.45358306188925079</v>
      </c>
      <c r="DT77" s="499">
        <v>4419</v>
      </c>
      <c r="DU77" s="500">
        <v>3061</v>
      </c>
      <c r="DV77" s="500">
        <v>2371</v>
      </c>
      <c r="DW77" s="500">
        <v>1091</v>
      </c>
      <c r="DX77" s="500">
        <v>869</v>
      </c>
      <c r="DY77" s="501">
        <f t="shared" si="138"/>
        <v>0.35641947076118913</v>
      </c>
      <c r="DZ77" s="501">
        <f t="shared" si="139"/>
        <v>0.46014339940953186</v>
      </c>
      <c r="EA77" s="501">
        <v>0.38353479255145378</v>
      </c>
      <c r="EB77" s="502">
        <v>0.49514972585407002</v>
      </c>
    </row>
    <row r="78" spans="1:132" s="2" customFormat="1" x14ac:dyDescent="0.25">
      <c r="A78" s="557" t="s">
        <v>265</v>
      </c>
      <c r="B78" s="526" t="s">
        <v>268</v>
      </c>
      <c r="C78" s="527" t="s">
        <v>269</v>
      </c>
      <c r="D78" s="528">
        <v>3495</v>
      </c>
      <c r="E78" s="529">
        <v>3127</v>
      </c>
      <c r="F78" s="529">
        <v>2338</v>
      </c>
      <c r="G78" s="529">
        <v>870</v>
      </c>
      <c r="H78" s="529">
        <v>656</v>
      </c>
      <c r="I78" s="530">
        <f t="shared" si="108"/>
        <v>0.27822193795970579</v>
      </c>
      <c r="J78" s="531">
        <f t="shared" si="109"/>
        <v>0.37211291702309668</v>
      </c>
      <c r="K78" s="528">
        <v>3166</v>
      </c>
      <c r="L78" s="529">
        <v>2875</v>
      </c>
      <c r="M78" s="529">
        <v>2120</v>
      </c>
      <c r="N78" s="529">
        <v>1014</v>
      </c>
      <c r="O78" s="529">
        <v>786</v>
      </c>
      <c r="P78" s="530">
        <f t="shared" si="110"/>
        <v>0.35269565217391302</v>
      </c>
      <c r="Q78" s="531">
        <f t="shared" si="111"/>
        <v>0.47830188679245284</v>
      </c>
      <c r="R78" s="528">
        <v>3085</v>
      </c>
      <c r="S78" s="529">
        <v>2771</v>
      </c>
      <c r="T78" s="529">
        <v>2389</v>
      </c>
      <c r="U78" s="529">
        <v>1308</v>
      </c>
      <c r="V78" s="529">
        <v>843</v>
      </c>
      <c r="W78" s="530">
        <f t="shared" si="106"/>
        <v>0.47203175748827136</v>
      </c>
      <c r="X78" s="531">
        <f t="shared" si="107"/>
        <v>0.54750941816659693</v>
      </c>
      <c r="Y78" s="528">
        <v>3080</v>
      </c>
      <c r="Z78" s="529">
        <v>2795</v>
      </c>
      <c r="AA78" s="529">
        <v>2473</v>
      </c>
      <c r="AB78" s="529">
        <v>1438</v>
      </c>
      <c r="AC78" s="529">
        <v>921</v>
      </c>
      <c r="AD78" s="530">
        <f t="shared" si="112"/>
        <v>0.5144901610017889</v>
      </c>
      <c r="AE78" s="531">
        <f t="shared" si="113"/>
        <v>0.58147998382531341</v>
      </c>
      <c r="AF78" s="528">
        <v>2553</v>
      </c>
      <c r="AG78" s="529">
        <v>2269</v>
      </c>
      <c r="AH78" s="529">
        <v>2007</v>
      </c>
      <c r="AI78" s="529">
        <v>1259</v>
      </c>
      <c r="AJ78" s="529">
        <v>838</v>
      </c>
      <c r="AK78" s="530">
        <f t="shared" si="114"/>
        <v>0.55486998677831645</v>
      </c>
      <c r="AL78" s="531">
        <f t="shared" si="115"/>
        <v>0.62730443447932238</v>
      </c>
      <c r="AM78" s="528">
        <v>2160</v>
      </c>
      <c r="AN78" s="529">
        <v>1886</v>
      </c>
      <c r="AO78" s="529">
        <v>1687</v>
      </c>
      <c r="AP78" s="529">
        <v>861</v>
      </c>
      <c r="AQ78" s="529">
        <v>528</v>
      </c>
      <c r="AR78" s="530">
        <f t="shared" si="116"/>
        <v>0.45652173913043476</v>
      </c>
      <c r="AS78" s="531">
        <f t="shared" si="117"/>
        <v>0.51037344398340245</v>
      </c>
      <c r="AT78" s="528">
        <v>1984</v>
      </c>
      <c r="AU78" s="529">
        <v>1704</v>
      </c>
      <c r="AV78" s="529">
        <v>1501</v>
      </c>
      <c r="AW78" s="529">
        <v>956</v>
      </c>
      <c r="AX78" s="529">
        <v>588</v>
      </c>
      <c r="AY78" s="530">
        <f t="shared" si="118"/>
        <v>0.56103286384976525</v>
      </c>
      <c r="AZ78" s="531">
        <f t="shared" si="119"/>
        <v>0.63690872751499006</v>
      </c>
      <c r="BA78" s="528">
        <v>1722</v>
      </c>
      <c r="BB78" s="529">
        <v>1480</v>
      </c>
      <c r="BC78" s="529">
        <v>1306</v>
      </c>
      <c r="BD78" s="529">
        <v>869</v>
      </c>
      <c r="BE78" s="529">
        <v>557</v>
      </c>
      <c r="BF78" s="530">
        <f t="shared" si="120"/>
        <v>0.58716216216216222</v>
      </c>
      <c r="BG78" s="531">
        <f t="shared" si="121"/>
        <v>0.66539050535987754</v>
      </c>
      <c r="BH78" s="528">
        <v>1372</v>
      </c>
      <c r="BI78" s="529">
        <v>1202</v>
      </c>
      <c r="BJ78" s="529">
        <v>898</v>
      </c>
      <c r="BK78" s="529">
        <v>603</v>
      </c>
      <c r="BL78" s="529">
        <v>468</v>
      </c>
      <c r="BM78" s="530">
        <f t="shared" si="122"/>
        <v>0.50166389351081531</v>
      </c>
      <c r="BN78" s="531">
        <f t="shared" si="123"/>
        <v>0.67149220489977723</v>
      </c>
      <c r="BO78" s="528">
        <v>1449</v>
      </c>
      <c r="BP78" s="529">
        <v>1277</v>
      </c>
      <c r="BQ78" s="529">
        <v>976</v>
      </c>
      <c r="BR78" s="529">
        <v>655</v>
      </c>
      <c r="BS78" s="529">
        <v>497</v>
      </c>
      <c r="BT78" s="530">
        <f t="shared" si="124"/>
        <v>0.51292090837901327</v>
      </c>
      <c r="BU78" s="531">
        <f t="shared" si="125"/>
        <v>0.67110655737704916</v>
      </c>
      <c r="BV78" s="528">
        <v>1353</v>
      </c>
      <c r="BW78" s="529">
        <v>1184</v>
      </c>
      <c r="BX78" s="529">
        <v>927</v>
      </c>
      <c r="BY78" s="529">
        <v>674</v>
      </c>
      <c r="BZ78" s="529">
        <v>559</v>
      </c>
      <c r="CA78" s="530">
        <f t="shared" si="126"/>
        <v>0.5692567567567568</v>
      </c>
      <c r="CB78" s="531">
        <f t="shared" si="127"/>
        <v>0.72707659115426104</v>
      </c>
      <c r="CC78" s="528">
        <v>1289</v>
      </c>
      <c r="CD78" s="529">
        <v>1131</v>
      </c>
      <c r="CE78" s="529">
        <v>990</v>
      </c>
      <c r="CF78" s="529">
        <v>795</v>
      </c>
      <c r="CG78" s="529">
        <v>529</v>
      </c>
      <c r="CH78" s="530">
        <f t="shared" si="128"/>
        <v>0.70291777188328908</v>
      </c>
      <c r="CI78" s="531">
        <f t="shared" si="129"/>
        <v>0.80303030303030298</v>
      </c>
      <c r="CJ78" s="528">
        <v>1177</v>
      </c>
      <c r="CK78" s="529">
        <v>1025</v>
      </c>
      <c r="CL78" s="529">
        <v>946</v>
      </c>
      <c r="CM78" s="529">
        <v>826</v>
      </c>
      <c r="CN78" s="529">
        <v>599</v>
      </c>
      <c r="CO78" s="530">
        <f t="shared" si="130"/>
        <v>0.80585365853658542</v>
      </c>
      <c r="CP78" s="530">
        <f t="shared" si="131"/>
        <v>0.87315010570824525</v>
      </c>
      <c r="CQ78" s="530">
        <v>0.80585365853658542</v>
      </c>
      <c r="CR78" s="531">
        <v>0.87315010570824525</v>
      </c>
      <c r="CS78" s="528">
        <v>1162</v>
      </c>
      <c r="CT78" s="529">
        <v>1007</v>
      </c>
      <c r="CU78" s="529">
        <v>933</v>
      </c>
      <c r="CV78" s="529">
        <v>753</v>
      </c>
      <c r="CW78" s="529">
        <v>510</v>
      </c>
      <c r="CX78" s="530">
        <f t="shared" si="132"/>
        <v>0.74776564051638528</v>
      </c>
      <c r="CY78" s="530">
        <f t="shared" si="133"/>
        <v>0.80707395498392287</v>
      </c>
      <c r="CZ78" s="530">
        <v>0.74776564051638528</v>
      </c>
      <c r="DA78" s="531">
        <v>0.80707395498392287</v>
      </c>
      <c r="DB78" s="528">
        <v>1413</v>
      </c>
      <c r="DC78" s="529">
        <v>1233</v>
      </c>
      <c r="DD78" s="529">
        <v>1009</v>
      </c>
      <c r="DE78" s="529">
        <v>689</v>
      </c>
      <c r="DF78" s="529">
        <v>494</v>
      </c>
      <c r="DG78" s="530">
        <f t="shared" si="134"/>
        <v>0.5587996755879967</v>
      </c>
      <c r="DH78" s="530">
        <f t="shared" si="135"/>
        <v>0.68285431119920714</v>
      </c>
      <c r="DI78" s="530">
        <v>0.5587996755879967</v>
      </c>
      <c r="DJ78" s="531">
        <v>0.68285431119920714</v>
      </c>
      <c r="DK78" s="528">
        <v>1399</v>
      </c>
      <c r="DL78" s="529">
        <v>1167</v>
      </c>
      <c r="DM78" s="529">
        <v>1007</v>
      </c>
      <c r="DN78" s="529">
        <v>693</v>
      </c>
      <c r="DO78" s="529">
        <v>489</v>
      </c>
      <c r="DP78" s="530">
        <f t="shared" si="136"/>
        <v>0.59383033419023135</v>
      </c>
      <c r="DQ78" s="530">
        <f t="shared" si="137"/>
        <v>0.68818272095332667</v>
      </c>
      <c r="DR78" s="530">
        <v>0.59383033419023135</v>
      </c>
      <c r="DS78" s="531">
        <v>0.68818272095332667</v>
      </c>
      <c r="DT78" s="528">
        <v>1574</v>
      </c>
      <c r="DU78" s="529">
        <v>1281</v>
      </c>
      <c r="DV78" s="529">
        <v>1070</v>
      </c>
      <c r="DW78" s="529">
        <v>730</v>
      </c>
      <c r="DX78" s="529">
        <v>520</v>
      </c>
      <c r="DY78" s="530">
        <f t="shared" si="138"/>
        <v>0.56986729117876656</v>
      </c>
      <c r="DZ78" s="530">
        <f t="shared" si="139"/>
        <v>0.68224299065420557</v>
      </c>
      <c r="EA78" s="530">
        <v>0.56986729117876656</v>
      </c>
      <c r="EB78" s="531">
        <v>0.68224299065420557</v>
      </c>
    </row>
    <row r="79" spans="1:132" s="2" customFormat="1" x14ac:dyDescent="0.25">
      <c r="A79" s="503" t="s">
        <v>265</v>
      </c>
      <c r="B79" s="504" t="s">
        <v>270</v>
      </c>
      <c r="C79" s="505" t="s">
        <v>221</v>
      </c>
      <c r="D79" s="506">
        <v>1746</v>
      </c>
      <c r="E79" s="507">
        <v>1547</v>
      </c>
      <c r="F79" s="507">
        <v>1366</v>
      </c>
      <c r="G79" s="507">
        <v>585</v>
      </c>
      <c r="H79" s="507">
        <v>360</v>
      </c>
      <c r="I79" s="508">
        <f t="shared" si="108"/>
        <v>0.37815126050420167</v>
      </c>
      <c r="J79" s="509">
        <f t="shared" si="109"/>
        <v>0.42825768667642755</v>
      </c>
      <c r="K79" s="506">
        <v>1705</v>
      </c>
      <c r="L79" s="507">
        <v>1482</v>
      </c>
      <c r="M79" s="507">
        <v>1308</v>
      </c>
      <c r="N79" s="507">
        <v>605</v>
      </c>
      <c r="O79" s="507">
        <v>395</v>
      </c>
      <c r="P79" s="508">
        <f t="shared" si="110"/>
        <v>0.40823211875843457</v>
      </c>
      <c r="Q79" s="509">
        <f t="shared" si="111"/>
        <v>0.46253822629969421</v>
      </c>
      <c r="R79" s="506">
        <v>1536</v>
      </c>
      <c r="S79" s="507">
        <v>1345</v>
      </c>
      <c r="T79" s="507">
        <v>1157</v>
      </c>
      <c r="U79" s="507">
        <v>550</v>
      </c>
      <c r="V79" s="507">
        <v>401</v>
      </c>
      <c r="W79" s="508">
        <f t="shared" si="106"/>
        <v>0.40892193308550184</v>
      </c>
      <c r="X79" s="509">
        <f t="shared" si="107"/>
        <v>0.47536732929991354</v>
      </c>
      <c r="Y79" s="506">
        <v>1117</v>
      </c>
      <c r="Z79" s="507">
        <v>1010</v>
      </c>
      <c r="AA79" s="507">
        <v>805</v>
      </c>
      <c r="AB79" s="507">
        <v>546</v>
      </c>
      <c r="AC79" s="507">
        <v>398</v>
      </c>
      <c r="AD79" s="508">
        <f t="shared" si="112"/>
        <v>0.54059405940594063</v>
      </c>
      <c r="AE79" s="509">
        <f t="shared" si="113"/>
        <v>0.67826086956521736</v>
      </c>
      <c r="AF79" s="506">
        <v>1007</v>
      </c>
      <c r="AG79" s="507">
        <v>917</v>
      </c>
      <c r="AH79" s="507">
        <v>754</v>
      </c>
      <c r="AI79" s="507">
        <v>492</v>
      </c>
      <c r="AJ79" s="507">
        <v>350</v>
      </c>
      <c r="AK79" s="508">
        <f t="shared" si="114"/>
        <v>0.53653217011995635</v>
      </c>
      <c r="AL79" s="509">
        <f t="shared" si="115"/>
        <v>0.65251989389920428</v>
      </c>
      <c r="AM79" s="506">
        <v>783</v>
      </c>
      <c r="AN79" s="507">
        <v>694</v>
      </c>
      <c r="AO79" s="507">
        <v>577</v>
      </c>
      <c r="AP79" s="507">
        <v>308</v>
      </c>
      <c r="AQ79" s="507">
        <v>233</v>
      </c>
      <c r="AR79" s="508">
        <f t="shared" si="116"/>
        <v>0.44380403458213258</v>
      </c>
      <c r="AS79" s="509">
        <f t="shared" si="117"/>
        <v>0.53379549393414216</v>
      </c>
      <c r="AT79" s="506">
        <v>532</v>
      </c>
      <c r="AU79" s="507">
        <v>491</v>
      </c>
      <c r="AV79" s="507">
        <v>407</v>
      </c>
      <c r="AW79" s="507">
        <v>280</v>
      </c>
      <c r="AX79" s="507">
        <v>203</v>
      </c>
      <c r="AY79" s="508">
        <f t="shared" si="118"/>
        <v>0.570264765784114</v>
      </c>
      <c r="AZ79" s="509">
        <f t="shared" si="119"/>
        <v>0.68796068796068799</v>
      </c>
      <c r="BA79" s="506">
        <v>553</v>
      </c>
      <c r="BB79" s="507">
        <v>491</v>
      </c>
      <c r="BC79" s="507">
        <v>377</v>
      </c>
      <c r="BD79" s="507">
        <v>292</v>
      </c>
      <c r="BE79" s="507">
        <v>225</v>
      </c>
      <c r="BF79" s="508">
        <f t="shared" si="120"/>
        <v>0.59470468431771895</v>
      </c>
      <c r="BG79" s="509">
        <f t="shared" si="121"/>
        <v>0.77453580901856767</v>
      </c>
      <c r="BH79" s="506">
        <v>489</v>
      </c>
      <c r="BI79" s="507">
        <v>449</v>
      </c>
      <c r="BJ79" s="507">
        <v>364</v>
      </c>
      <c r="BK79" s="507">
        <v>299</v>
      </c>
      <c r="BL79" s="507">
        <v>225</v>
      </c>
      <c r="BM79" s="508">
        <f t="shared" si="122"/>
        <v>0.66592427616926508</v>
      </c>
      <c r="BN79" s="509">
        <f t="shared" si="123"/>
        <v>0.8214285714285714</v>
      </c>
      <c r="BO79" s="506">
        <v>490</v>
      </c>
      <c r="BP79" s="507">
        <v>445</v>
      </c>
      <c r="BQ79" s="507">
        <v>338</v>
      </c>
      <c r="BR79" s="507">
        <v>251</v>
      </c>
      <c r="BS79" s="507">
        <v>196</v>
      </c>
      <c r="BT79" s="508">
        <f t="shared" si="124"/>
        <v>0.56404494382022474</v>
      </c>
      <c r="BU79" s="509">
        <f t="shared" si="125"/>
        <v>0.74260355029585801</v>
      </c>
      <c r="BV79" s="506">
        <v>723</v>
      </c>
      <c r="BW79" s="507">
        <v>651</v>
      </c>
      <c r="BX79" s="507">
        <v>527</v>
      </c>
      <c r="BY79" s="507">
        <v>418</v>
      </c>
      <c r="BZ79" s="507">
        <v>331</v>
      </c>
      <c r="CA79" s="508">
        <f t="shared" si="126"/>
        <v>0.64208909370199696</v>
      </c>
      <c r="CB79" s="509">
        <f t="shared" si="127"/>
        <v>0.79316888045540801</v>
      </c>
      <c r="CC79" s="506">
        <v>932</v>
      </c>
      <c r="CD79" s="507">
        <v>803</v>
      </c>
      <c r="CE79" s="507">
        <v>700</v>
      </c>
      <c r="CF79" s="507">
        <v>540</v>
      </c>
      <c r="CG79" s="507">
        <v>353</v>
      </c>
      <c r="CH79" s="508">
        <f t="shared" si="128"/>
        <v>0.67247820672478209</v>
      </c>
      <c r="CI79" s="509">
        <f t="shared" si="129"/>
        <v>0.77142857142857146</v>
      </c>
      <c r="CJ79" s="506">
        <v>910</v>
      </c>
      <c r="CK79" s="507">
        <v>799</v>
      </c>
      <c r="CL79" s="507">
        <v>726</v>
      </c>
      <c r="CM79" s="507">
        <v>421</v>
      </c>
      <c r="CN79" s="507">
        <v>337</v>
      </c>
      <c r="CO79" s="508">
        <f t="shared" si="130"/>
        <v>0.52690863579474345</v>
      </c>
      <c r="CP79" s="508">
        <f t="shared" si="131"/>
        <v>0.57988980716253447</v>
      </c>
      <c r="CQ79" s="508">
        <v>0.69712140175219028</v>
      </c>
      <c r="CR79" s="509">
        <v>0.76721763085399453</v>
      </c>
      <c r="CS79" s="506">
        <v>1001</v>
      </c>
      <c r="CT79" s="507">
        <v>835</v>
      </c>
      <c r="CU79" s="507">
        <v>628</v>
      </c>
      <c r="CV79" s="507">
        <v>397</v>
      </c>
      <c r="CW79" s="507">
        <v>305</v>
      </c>
      <c r="CX79" s="508">
        <f t="shared" si="132"/>
        <v>0.4754491017964072</v>
      </c>
      <c r="CY79" s="508">
        <f t="shared" si="133"/>
        <v>0.63216560509554143</v>
      </c>
      <c r="CZ79" s="508">
        <v>0.548502994011976</v>
      </c>
      <c r="DA79" s="509">
        <v>0.72929936305732479</v>
      </c>
      <c r="DB79" s="506">
        <v>1048</v>
      </c>
      <c r="DC79" s="507">
        <v>878</v>
      </c>
      <c r="DD79" s="507">
        <v>698</v>
      </c>
      <c r="DE79" s="507">
        <v>465</v>
      </c>
      <c r="DF79" s="507">
        <v>389</v>
      </c>
      <c r="DG79" s="508">
        <f t="shared" si="134"/>
        <v>0.52961275626423687</v>
      </c>
      <c r="DH79" s="508">
        <f t="shared" si="135"/>
        <v>0.666189111747851</v>
      </c>
      <c r="DI79" s="508">
        <v>0.66400911161731202</v>
      </c>
      <c r="DJ79" s="509">
        <v>0.83524355300859598</v>
      </c>
      <c r="DK79" s="506">
        <v>1169</v>
      </c>
      <c r="DL79" s="507">
        <v>973</v>
      </c>
      <c r="DM79" s="507">
        <v>786</v>
      </c>
      <c r="DN79" s="507">
        <v>515</v>
      </c>
      <c r="DO79" s="507">
        <v>413</v>
      </c>
      <c r="DP79" s="508">
        <f t="shared" si="136"/>
        <v>0.52929085303186019</v>
      </c>
      <c r="DQ79" s="508">
        <f t="shared" si="137"/>
        <v>0.65521628498727735</v>
      </c>
      <c r="DR79" s="508">
        <v>0.62076053442959922</v>
      </c>
      <c r="DS79" s="509">
        <v>0.76844783715012721</v>
      </c>
      <c r="DT79" s="506">
        <v>1071</v>
      </c>
      <c r="DU79" s="507">
        <v>885</v>
      </c>
      <c r="DV79" s="507">
        <v>692</v>
      </c>
      <c r="DW79" s="507">
        <v>474</v>
      </c>
      <c r="DX79" s="507">
        <v>391</v>
      </c>
      <c r="DY79" s="508">
        <f t="shared" si="138"/>
        <v>0.53559322033898304</v>
      </c>
      <c r="DZ79" s="508">
        <f t="shared" si="139"/>
        <v>0.68497109826589597</v>
      </c>
      <c r="EA79" s="508">
        <v>0.64067796610169492</v>
      </c>
      <c r="EB79" s="509">
        <v>0.81936416184971095</v>
      </c>
    </row>
    <row r="80" spans="1:132" s="2" customFormat="1" x14ac:dyDescent="0.25">
      <c r="A80" s="496" t="s">
        <v>265</v>
      </c>
      <c r="B80" s="497" t="s">
        <v>271</v>
      </c>
      <c r="C80" s="498" t="s">
        <v>227</v>
      </c>
      <c r="D80" s="545"/>
      <c r="E80" s="546"/>
      <c r="F80" s="546"/>
      <c r="G80" s="546"/>
      <c r="H80" s="546"/>
      <c r="I80" s="547"/>
      <c r="J80" s="548"/>
      <c r="K80" s="545" t="s">
        <v>67</v>
      </c>
      <c r="L80" s="546" t="s">
        <v>67</v>
      </c>
      <c r="M80" s="546" t="s">
        <v>67</v>
      </c>
      <c r="N80" s="546" t="s">
        <v>67</v>
      </c>
      <c r="O80" s="546" t="s">
        <v>67</v>
      </c>
      <c r="P80" s="547" t="s">
        <v>67</v>
      </c>
      <c r="Q80" s="548" t="s">
        <v>67</v>
      </c>
      <c r="R80" s="545">
        <v>288</v>
      </c>
      <c r="S80" s="546">
        <v>288</v>
      </c>
      <c r="T80" s="546">
        <v>221</v>
      </c>
      <c r="U80" s="546">
        <v>149</v>
      </c>
      <c r="V80" s="546">
        <v>112</v>
      </c>
      <c r="W80" s="547">
        <f t="shared" si="106"/>
        <v>0.51736111111111116</v>
      </c>
      <c r="X80" s="548">
        <f t="shared" si="107"/>
        <v>0.67420814479638014</v>
      </c>
      <c r="Y80" s="545">
        <v>671</v>
      </c>
      <c r="Z80" s="546">
        <v>646</v>
      </c>
      <c r="AA80" s="546">
        <v>557</v>
      </c>
      <c r="AB80" s="546">
        <v>465</v>
      </c>
      <c r="AC80" s="546">
        <v>394</v>
      </c>
      <c r="AD80" s="547">
        <f t="shared" si="112"/>
        <v>0.7198142414860681</v>
      </c>
      <c r="AE80" s="548">
        <f t="shared" si="113"/>
        <v>0.83482944344703769</v>
      </c>
      <c r="AF80" s="545">
        <v>619</v>
      </c>
      <c r="AG80" s="546">
        <v>565</v>
      </c>
      <c r="AH80" s="546">
        <v>445</v>
      </c>
      <c r="AI80" s="546">
        <v>288</v>
      </c>
      <c r="AJ80" s="546">
        <v>190</v>
      </c>
      <c r="AK80" s="547">
        <f t="shared" si="114"/>
        <v>0.50973451327433628</v>
      </c>
      <c r="AL80" s="548">
        <f t="shared" si="115"/>
        <v>0.64719101123595502</v>
      </c>
      <c r="AM80" s="545">
        <v>448</v>
      </c>
      <c r="AN80" s="546">
        <v>399</v>
      </c>
      <c r="AO80" s="546">
        <v>304</v>
      </c>
      <c r="AP80" s="546">
        <v>228</v>
      </c>
      <c r="AQ80" s="546">
        <v>155</v>
      </c>
      <c r="AR80" s="547">
        <f t="shared" si="116"/>
        <v>0.5714285714285714</v>
      </c>
      <c r="AS80" s="548">
        <f t="shared" si="117"/>
        <v>0.75</v>
      </c>
      <c r="AT80" s="545">
        <v>469</v>
      </c>
      <c r="AU80" s="546">
        <v>417</v>
      </c>
      <c r="AV80" s="546">
        <v>333</v>
      </c>
      <c r="AW80" s="546">
        <v>260</v>
      </c>
      <c r="AX80" s="546">
        <v>179</v>
      </c>
      <c r="AY80" s="547">
        <f t="shared" si="118"/>
        <v>0.6235011990407674</v>
      </c>
      <c r="AZ80" s="548">
        <f t="shared" si="119"/>
        <v>0.78078078078078073</v>
      </c>
      <c r="BA80" s="545">
        <v>477</v>
      </c>
      <c r="BB80" s="546">
        <v>420</v>
      </c>
      <c r="BC80" s="546">
        <v>349</v>
      </c>
      <c r="BD80" s="546">
        <v>275</v>
      </c>
      <c r="BE80" s="546">
        <v>178</v>
      </c>
      <c r="BF80" s="547">
        <f t="shared" si="120"/>
        <v>0.65476190476190477</v>
      </c>
      <c r="BG80" s="548">
        <f t="shared" si="121"/>
        <v>0.78796561604584525</v>
      </c>
      <c r="BH80" s="545">
        <v>464</v>
      </c>
      <c r="BI80" s="546">
        <v>408</v>
      </c>
      <c r="BJ80" s="546">
        <v>317</v>
      </c>
      <c r="BK80" s="546">
        <v>251</v>
      </c>
      <c r="BL80" s="546">
        <v>170</v>
      </c>
      <c r="BM80" s="547">
        <f t="shared" si="122"/>
        <v>0.61519607843137258</v>
      </c>
      <c r="BN80" s="548">
        <f t="shared" si="123"/>
        <v>0.79179810725552047</v>
      </c>
      <c r="BO80" s="545">
        <v>547</v>
      </c>
      <c r="BP80" s="546">
        <v>481</v>
      </c>
      <c r="BQ80" s="546">
        <v>403</v>
      </c>
      <c r="BR80" s="546">
        <v>281</v>
      </c>
      <c r="BS80" s="546">
        <v>189</v>
      </c>
      <c r="BT80" s="547">
        <f t="shared" si="124"/>
        <v>0.58419958419958418</v>
      </c>
      <c r="BU80" s="548">
        <f t="shared" si="125"/>
        <v>0.69727047146401988</v>
      </c>
      <c r="BV80" s="545">
        <v>653</v>
      </c>
      <c r="BW80" s="546">
        <v>570</v>
      </c>
      <c r="BX80" s="546">
        <v>474</v>
      </c>
      <c r="BY80" s="546">
        <v>347</v>
      </c>
      <c r="BZ80" s="546">
        <v>226</v>
      </c>
      <c r="CA80" s="547">
        <f t="shared" si="126"/>
        <v>0.60877192982456141</v>
      </c>
      <c r="CB80" s="548">
        <f t="shared" si="127"/>
        <v>0.73206751054852326</v>
      </c>
      <c r="CC80" s="545">
        <v>603</v>
      </c>
      <c r="CD80" s="546">
        <v>539</v>
      </c>
      <c r="CE80" s="546">
        <v>467</v>
      </c>
      <c r="CF80" s="546">
        <v>356</v>
      </c>
      <c r="CG80" s="546">
        <v>166</v>
      </c>
      <c r="CH80" s="547">
        <f t="shared" si="128"/>
        <v>0.66048237476808902</v>
      </c>
      <c r="CI80" s="548">
        <f t="shared" si="129"/>
        <v>0.76231263383297643</v>
      </c>
      <c r="CJ80" s="545">
        <v>569</v>
      </c>
      <c r="CK80" s="546">
        <v>488</v>
      </c>
      <c r="CL80" s="546">
        <v>459</v>
      </c>
      <c r="CM80" s="546">
        <v>331</v>
      </c>
      <c r="CN80" s="546">
        <v>167</v>
      </c>
      <c r="CO80" s="547">
        <f t="shared" si="130"/>
        <v>0.67827868852459017</v>
      </c>
      <c r="CP80" s="547">
        <f t="shared" si="131"/>
        <v>0.72113289760348587</v>
      </c>
      <c r="CQ80" s="547">
        <v>0.70286885245901642</v>
      </c>
      <c r="CR80" s="548">
        <v>0.74727668845315909</v>
      </c>
      <c r="CS80" s="545">
        <v>644</v>
      </c>
      <c r="CT80" s="546">
        <v>553</v>
      </c>
      <c r="CU80" s="546">
        <v>502</v>
      </c>
      <c r="CV80" s="546">
        <v>264</v>
      </c>
      <c r="CW80" s="546">
        <v>172</v>
      </c>
      <c r="CX80" s="547">
        <f t="shared" si="132"/>
        <v>0.47739602169981915</v>
      </c>
      <c r="CY80" s="547">
        <f t="shared" si="133"/>
        <v>0.52589641434262946</v>
      </c>
      <c r="CZ80" s="547">
        <v>0.68173598553345394</v>
      </c>
      <c r="DA80" s="548">
        <v>0.75099601593625498</v>
      </c>
      <c r="DB80" s="545">
        <v>597</v>
      </c>
      <c r="DC80" s="546">
        <v>514</v>
      </c>
      <c r="DD80" s="546">
        <v>472</v>
      </c>
      <c r="DE80" s="546">
        <v>222</v>
      </c>
      <c r="DF80" s="546">
        <v>122</v>
      </c>
      <c r="DG80" s="547">
        <f t="shared" si="134"/>
        <v>0.43190661478599224</v>
      </c>
      <c r="DH80" s="547">
        <f t="shared" si="135"/>
        <v>0.47033898305084748</v>
      </c>
      <c r="DI80" s="547">
        <v>0.6089494163424124</v>
      </c>
      <c r="DJ80" s="548">
        <v>0.66313559322033899</v>
      </c>
      <c r="DK80" s="545">
        <v>642</v>
      </c>
      <c r="DL80" s="546">
        <v>520</v>
      </c>
      <c r="DM80" s="546">
        <v>483</v>
      </c>
      <c r="DN80" s="546">
        <v>238</v>
      </c>
      <c r="DO80" s="546">
        <v>147</v>
      </c>
      <c r="DP80" s="547">
        <f t="shared" si="136"/>
        <v>0.45769230769230768</v>
      </c>
      <c r="DQ80" s="547">
        <f t="shared" si="137"/>
        <v>0.49275362318840582</v>
      </c>
      <c r="DR80" s="547">
        <v>0.63076923076923075</v>
      </c>
      <c r="DS80" s="548">
        <v>0.67908902691511386</v>
      </c>
      <c r="DT80" s="545">
        <v>652</v>
      </c>
      <c r="DU80" s="546">
        <v>534</v>
      </c>
      <c r="DV80" s="546">
        <v>472</v>
      </c>
      <c r="DW80" s="546">
        <v>293</v>
      </c>
      <c r="DX80" s="546">
        <v>162</v>
      </c>
      <c r="DY80" s="547">
        <f t="shared" si="138"/>
        <v>0.54868913857677903</v>
      </c>
      <c r="DZ80" s="547">
        <f t="shared" si="139"/>
        <v>0.62076271186440679</v>
      </c>
      <c r="EA80" s="547">
        <v>0.7078651685393258</v>
      </c>
      <c r="EB80" s="548">
        <v>0.80084745762711862</v>
      </c>
    </row>
    <row r="81" spans="1:132" s="2" customFormat="1" x14ac:dyDescent="0.25">
      <c r="A81" s="511" t="s">
        <v>265</v>
      </c>
      <c r="B81" s="512" t="s">
        <v>272</v>
      </c>
      <c r="C81" s="513" t="s">
        <v>199</v>
      </c>
      <c r="D81" s="514"/>
      <c r="E81" s="515"/>
      <c r="F81" s="515"/>
      <c r="G81" s="515"/>
      <c r="H81" s="515"/>
      <c r="I81" s="516"/>
      <c r="J81" s="517"/>
      <c r="K81" s="514" t="s">
        <v>67</v>
      </c>
      <c r="L81" s="515" t="s">
        <v>67</v>
      </c>
      <c r="M81" s="515" t="s">
        <v>67</v>
      </c>
      <c r="N81" s="515" t="s">
        <v>67</v>
      </c>
      <c r="O81" s="515" t="s">
        <v>67</v>
      </c>
      <c r="P81" s="516" t="s">
        <v>67</v>
      </c>
      <c r="Q81" s="517" t="s">
        <v>67</v>
      </c>
      <c r="R81" s="514">
        <v>1106</v>
      </c>
      <c r="S81" s="515">
        <v>955</v>
      </c>
      <c r="T81" s="515">
        <v>794</v>
      </c>
      <c r="U81" s="515">
        <v>166</v>
      </c>
      <c r="V81" s="515">
        <v>141</v>
      </c>
      <c r="W81" s="516">
        <f t="shared" si="106"/>
        <v>0.17382198952879582</v>
      </c>
      <c r="X81" s="517">
        <f t="shared" si="107"/>
        <v>0.20906801007556675</v>
      </c>
      <c r="Y81" s="514">
        <v>1030</v>
      </c>
      <c r="Z81" s="515">
        <v>867</v>
      </c>
      <c r="AA81" s="515">
        <v>677</v>
      </c>
      <c r="AB81" s="515">
        <v>165</v>
      </c>
      <c r="AC81" s="515">
        <v>138</v>
      </c>
      <c r="AD81" s="516">
        <f t="shared" si="112"/>
        <v>0.19031141868512111</v>
      </c>
      <c r="AE81" s="517">
        <f t="shared" si="113"/>
        <v>0.24372230428360414</v>
      </c>
      <c r="AF81" s="514">
        <v>964</v>
      </c>
      <c r="AG81" s="515">
        <v>827</v>
      </c>
      <c r="AH81" s="515">
        <v>633</v>
      </c>
      <c r="AI81" s="515">
        <v>209</v>
      </c>
      <c r="AJ81" s="515">
        <v>182</v>
      </c>
      <c r="AK81" s="516">
        <f t="shared" si="114"/>
        <v>0.25272067714631197</v>
      </c>
      <c r="AL81" s="517">
        <f t="shared" si="115"/>
        <v>0.33017377567140599</v>
      </c>
      <c r="AM81" s="514">
        <v>1019</v>
      </c>
      <c r="AN81" s="515">
        <v>826</v>
      </c>
      <c r="AO81" s="515">
        <v>722</v>
      </c>
      <c r="AP81" s="515">
        <v>162</v>
      </c>
      <c r="AQ81" s="515">
        <v>135</v>
      </c>
      <c r="AR81" s="516">
        <f t="shared" si="116"/>
        <v>0.19612590799031476</v>
      </c>
      <c r="AS81" s="517">
        <f t="shared" si="117"/>
        <v>0.22437673130193905</v>
      </c>
      <c r="AT81" s="514">
        <v>721</v>
      </c>
      <c r="AU81" s="515">
        <v>593</v>
      </c>
      <c r="AV81" s="515">
        <v>505</v>
      </c>
      <c r="AW81" s="515">
        <v>122</v>
      </c>
      <c r="AX81" s="515">
        <v>98</v>
      </c>
      <c r="AY81" s="516">
        <f t="shared" si="118"/>
        <v>0.20573355817875211</v>
      </c>
      <c r="AZ81" s="517">
        <f t="shared" si="119"/>
        <v>0.24158415841584158</v>
      </c>
      <c r="BA81" s="514">
        <v>587</v>
      </c>
      <c r="BB81" s="515">
        <v>478</v>
      </c>
      <c r="BC81" s="515">
        <v>413</v>
      </c>
      <c r="BD81" s="515">
        <v>116</v>
      </c>
      <c r="BE81" s="515">
        <v>97</v>
      </c>
      <c r="BF81" s="516">
        <f t="shared" si="120"/>
        <v>0.24267782426778242</v>
      </c>
      <c r="BG81" s="517">
        <f t="shared" si="121"/>
        <v>0.28087167070217917</v>
      </c>
      <c r="BH81" s="514">
        <v>504</v>
      </c>
      <c r="BI81" s="515">
        <v>432</v>
      </c>
      <c r="BJ81" s="515">
        <v>432</v>
      </c>
      <c r="BK81" s="515">
        <v>117</v>
      </c>
      <c r="BL81" s="515">
        <v>94</v>
      </c>
      <c r="BM81" s="516">
        <f t="shared" si="122"/>
        <v>0.27083333333333331</v>
      </c>
      <c r="BN81" s="517">
        <f t="shared" si="123"/>
        <v>0.27083333333333331</v>
      </c>
      <c r="BO81" s="514">
        <v>391</v>
      </c>
      <c r="BP81" s="515">
        <v>348</v>
      </c>
      <c r="BQ81" s="515">
        <v>286</v>
      </c>
      <c r="BR81" s="515">
        <v>152</v>
      </c>
      <c r="BS81" s="515">
        <v>118</v>
      </c>
      <c r="BT81" s="516">
        <f t="shared" si="124"/>
        <v>0.43678160919540232</v>
      </c>
      <c r="BU81" s="517">
        <f t="shared" si="125"/>
        <v>0.53146853146853146</v>
      </c>
      <c r="BV81" s="514" t="s">
        <v>67</v>
      </c>
      <c r="BW81" s="515" t="s">
        <v>67</v>
      </c>
      <c r="BX81" s="515" t="s">
        <v>67</v>
      </c>
      <c r="BY81" s="515" t="s">
        <v>67</v>
      </c>
      <c r="BZ81" s="515" t="s">
        <v>67</v>
      </c>
      <c r="CA81" s="516" t="s">
        <v>67</v>
      </c>
      <c r="CB81" s="517" t="s">
        <v>67</v>
      </c>
      <c r="CC81" s="514" t="s">
        <v>67</v>
      </c>
      <c r="CD81" s="515" t="s">
        <v>67</v>
      </c>
      <c r="CE81" s="515" t="s">
        <v>67</v>
      </c>
      <c r="CF81" s="515" t="s">
        <v>67</v>
      </c>
      <c r="CG81" s="515" t="s">
        <v>67</v>
      </c>
      <c r="CH81" s="516" t="s">
        <v>67</v>
      </c>
      <c r="CI81" s="517" t="s">
        <v>67</v>
      </c>
      <c r="CJ81" s="514" t="s">
        <v>67</v>
      </c>
      <c r="CK81" s="515" t="s">
        <v>67</v>
      </c>
      <c r="CL81" s="515" t="s">
        <v>67</v>
      </c>
      <c r="CM81" s="515" t="s">
        <v>67</v>
      </c>
      <c r="CN81" s="515" t="s">
        <v>67</v>
      </c>
      <c r="CO81" s="516" t="s">
        <v>67</v>
      </c>
      <c r="CP81" s="516" t="s">
        <v>67</v>
      </c>
      <c r="CQ81" s="516" t="s">
        <v>67</v>
      </c>
      <c r="CR81" s="517" t="s">
        <v>67</v>
      </c>
      <c r="CS81" s="514" t="s">
        <v>67</v>
      </c>
      <c r="CT81" s="515" t="s">
        <v>67</v>
      </c>
      <c r="CU81" s="515" t="s">
        <v>67</v>
      </c>
      <c r="CV81" s="515" t="s">
        <v>67</v>
      </c>
      <c r="CW81" s="515" t="s">
        <v>67</v>
      </c>
      <c r="CX81" s="516" t="s">
        <v>67</v>
      </c>
      <c r="CY81" s="516" t="s">
        <v>67</v>
      </c>
      <c r="CZ81" s="516" t="s">
        <v>67</v>
      </c>
      <c r="DA81" s="517" t="s">
        <v>67</v>
      </c>
      <c r="DB81" s="514" t="s">
        <v>67</v>
      </c>
      <c r="DC81" s="515" t="s">
        <v>67</v>
      </c>
      <c r="DD81" s="515" t="s">
        <v>67</v>
      </c>
      <c r="DE81" s="515" t="s">
        <v>67</v>
      </c>
      <c r="DF81" s="515" t="s">
        <v>67</v>
      </c>
      <c r="DG81" s="516" t="s">
        <v>67</v>
      </c>
      <c r="DH81" s="516" t="s">
        <v>67</v>
      </c>
      <c r="DI81" s="516" t="s">
        <v>67</v>
      </c>
      <c r="DJ81" s="517" t="s">
        <v>67</v>
      </c>
      <c r="DK81" s="514" t="s">
        <v>67</v>
      </c>
      <c r="DL81" s="515" t="s">
        <v>67</v>
      </c>
      <c r="DM81" s="515" t="s">
        <v>67</v>
      </c>
      <c r="DN81" s="515" t="s">
        <v>67</v>
      </c>
      <c r="DO81" s="515" t="s">
        <v>67</v>
      </c>
      <c r="DP81" s="516" t="s">
        <v>67</v>
      </c>
      <c r="DQ81" s="516" t="s">
        <v>67</v>
      </c>
      <c r="DR81" s="516" t="s">
        <v>67</v>
      </c>
      <c r="DS81" s="517" t="s">
        <v>67</v>
      </c>
      <c r="DT81" s="514" t="s">
        <v>67</v>
      </c>
      <c r="DU81" s="515" t="s">
        <v>67</v>
      </c>
      <c r="DV81" s="515" t="s">
        <v>67</v>
      </c>
      <c r="DW81" s="515" t="s">
        <v>67</v>
      </c>
      <c r="DX81" s="515" t="s">
        <v>67</v>
      </c>
      <c r="DY81" s="516" t="s">
        <v>67</v>
      </c>
      <c r="DZ81" s="516" t="s">
        <v>67</v>
      </c>
      <c r="EA81" s="516" t="s">
        <v>67</v>
      </c>
      <c r="EB81" s="517" t="s">
        <v>67</v>
      </c>
    </row>
    <row r="82" spans="1:132" s="2" customFormat="1" x14ac:dyDescent="0.25">
      <c r="A82" s="533" t="s">
        <v>273</v>
      </c>
      <c r="B82" s="489" t="s">
        <v>274</v>
      </c>
      <c r="C82" s="565"/>
      <c r="D82" s="535">
        <v>8889</v>
      </c>
      <c r="E82" s="521">
        <v>7196</v>
      </c>
      <c r="F82" s="521">
        <v>6439</v>
      </c>
      <c r="G82" s="521">
        <v>4138</v>
      </c>
      <c r="H82" s="522">
        <v>3437</v>
      </c>
      <c r="I82" s="523">
        <f t="shared" si="108"/>
        <v>0.575041689827682</v>
      </c>
      <c r="J82" s="524">
        <f t="shared" si="109"/>
        <v>0.64264637366050625</v>
      </c>
      <c r="K82" s="535">
        <v>7688</v>
      </c>
      <c r="L82" s="521">
        <v>6365</v>
      </c>
      <c r="M82" s="521">
        <v>5554</v>
      </c>
      <c r="N82" s="521">
        <v>3509</v>
      </c>
      <c r="O82" s="522">
        <v>3119</v>
      </c>
      <c r="P82" s="523">
        <f t="shared" si="110"/>
        <v>0.55129615082482331</v>
      </c>
      <c r="Q82" s="524">
        <f t="shared" si="111"/>
        <v>0.63179690313287717</v>
      </c>
      <c r="R82" s="535">
        <v>6063</v>
      </c>
      <c r="S82" s="521">
        <v>5185</v>
      </c>
      <c r="T82" s="521">
        <v>4498</v>
      </c>
      <c r="U82" s="521">
        <v>3117</v>
      </c>
      <c r="V82" s="522">
        <v>2736</v>
      </c>
      <c r="W82" s="523">
        <f t="shared" si="106"/>
        <v>0.60115718418514952</v>
      </c>
      <c r="X82" s="524">
        <f t="shared" si="107"/>
        <v>0.69297465540240111</v>
      </c>
      <c r="Y82" s="535">
        <v>5483</v>
      </c>
      <c r="Z82" s="521">
        <v>4681</v>
      </c>
      <c r="AA82" s="521">
        <v>4105</v>
      </c>
      <c r="AB82" s="521">
        <v>2962</v>
      </c>
      <c r="AC82" s="522">
        <v>2512</v>
      </c>
      <c r="AD82" s="523">
        <f t="shared" si="112"/>
        <v>0.63277077547532579</v>
      </c>
      <c r="AE82" s="524">
        <f t="shared" si="113"/>
        <v>0.72155907429963462</v>
      </c>
      <c r="AF82" s="535">
        <v>5099</v>
      </c>
      <c r="AG82" s="521">
        <v>4441</v>
      </c>
      <c r="AH82" s="521">
        <v>3910</v>
      </c>
      <c r="AI82" s="521">
        <v>2860</v>
      </c>
      <c r="AJ82" s="522">
        <v>2496</v>
      </c>
      <c r="AK82" s="523">
        <f t="shared" si="114"/>
        <v>0.64399909930195898</v>
      </c>
      <c r="AL82" s="524">
        <f t="shared" si="115"/>
        <v>0.73145780051150899</v>
      </c>
      <c r="AM82" s="535">
        <v>4412</v>
      </c>
      <c r="AN82" s="521">
        <v>3831</v>
      </c>
      <c r="AO82" s="521">
        <v>3628</v>
      </c>
      <c r="AP82" s="521">
        <v>2362</v>
      </c>
      <c r="AQ82" s="522">
        <v>2070</v>
      </c>
      <c r="AR82" s="523">
        <f t="shared" si="116"/>
        <v>0.6165492038632211</v>
      </c>
      <c r="AS82" s="524">
        <f t="shared" si="117"/>
        <v>0.65104740904079383</v>
      </c>
      <c r="AT82" s="535">
        <v>3364</v>
      </c>
      <c r="AU82" s="521">
        <v>2999</v>
      </c>
      <c r="AV82" s="521">
        <v>2628</v>
      </c>
      <c r="AW82" s="521">
        <v>1765</v>
      </c>
      <c r="AX82" s="522">
        <v>1701</v>
      </c>
      <c r="AY82" s="523">
        <f t="shared" si="118"/>
        <v>0.58852950983661223</v>
      </c>
      <c r="AZ82" s="524">
        <f t="shared" si="119"/>
        <v>0.67161339421613397</v>
      </c>
      <c r="BA82" s="535">
        <v>2907</v>
      </c>
      <c r="BB82" s="521">
        <v>2600</v>
      </c>
      <c r="BC82" s="521">
        <v>2309</v>
      </c>
      <c r="BD82" s="521">
        <v>1630</v>
      </c>
      <c r="BE82" s="522">
        <v>1577</v>
      </c>
      <c r="BF82" s="523">
        <f t="shared" si="120"/>
        <v>0.62692307692307692</v>
      </c>
      <c r="BG82" s="524">
        <f t="shared" si="121"/>
        <v>0.70593330446080549</v>
      </c>
      <c r="BH82" s="535">
        <v>2895</v>
      </c>
      <c r="BI82" s="521">
        <v>2573</v>
      </c>
      <c r="BJ82" s="521">
        <v>2275</v>
      </c>
      <c r="BK82" s="521">
        <v>1640</v>
      </c>
      <c r="BL82" s="522">
        <v>1614</v>
      </c>
      <c r="BM82" s="523">
        <f t="shared" si="122"/>
        <v>0.63738826272833271</v>
      </c>
      <c r="BN82" s="524">
        <f t="shared" si="123"/>
        <v>0.72087912087912087</v>
      </c>
      <c r="BO82" s="535">
        <v>2698</v>
      </c>
      <c r="BP82" s="521">
        <v>2375</v>
      </c>
      <c r="BQ82" s="521">
        <v>2044</v>
      </c>
      <c r="BR82" s="521">
        <v>1520</v>
      </c>
      <c r="BS82" s="522">
        <v>1516</v>
      </c>
      <c r="BT82" s="523">
        <f t="shared" si="124"/>
        <v>0.64</v>
      </c>
      <c r="BU82" s="524">
        <f t="shared" si="125"/>
        <v>0.74363992172211346</v>
      </c>
      <c r="BV82" s="535">
        <v>3021</v>
      </c>
      <c r="BW82" s="521">
        <v>2712</v>
      </c>
      <c r="BX82" s="521">
        <v>2368</v>
      </c>
      <c r="BY82" s="521">
        <v>2011</v>
      </c>
      <c r="BZ82" s="522">
        <v>1789</v>
      </c>
      <c r="CA82" s="523">
        <f t="shared" si="126"/>
        <v>0.74151917404129797</v>
      </c>
      <c r="CB82" s="524">
        <f t="shared" si="127"/>
        <v>0.84923986486486491</v>
      </c>
      <c r="CC82" s="535">
        <v>4369</v>
      </c>
      <c r="CD82" s="521">
        <v>3806</v>
      </c>
      <c r="CE82" s="521">
        <v>3690</v>
      </c>
      <c r="CF82" s="521">
        <v>3307</v>
      </c>
      <c r="CG82" s="522">
        <v>2610</v>
      </c>
      <c r="CH82" s="523">
        <f t="shared" ref="CH82:CH101" si="140">CF82/CD82</f>
        <v>0.86889122438255384</v>
      </c>
      <c r="CI82" s="524">
        <f t="shared" ref="CI82:CI101" si="141">CF82/CE82</f>
        <v>0.89620596205962055</v>
      </c>
      <c r="CJ82" s="535">
        <v>4690</v>
      </c>
      <c r="CK82" s="521">
        <v>4053</v>
      </c>
      <c r="CL82" s="521">
        <v>3892</v>
      </c>
      <c r="CM82" s="521">
        <v>3502</v>
      </c>
      <c r="CN82" s="522">
        <v>2531</v>
      </c>
      <c r="CO82" s="523">
        <f t="shared" ref="CO82:CO102" si="142">CM82/CK82</f>
        <v>0.86405132000986928</v>
      </c>
      <c r="CP82" s="663">
        <f t="shared" ref="CP82:CP102" si="143">CM82/CL82</f>
        <v>0.89979445015416237</v>
      </c>
      <c r="CQ82" s="523">
        <v>0.86405132000986928</v>
      </c>
      <c r="CR82" s="524">
        <v>0.89979445015416237</v>
      </c>
      <c r="CS82" s="535">
        <v>4429</v>
      </c>
      <c r="CT82" s="521">
        <v>3822</v>
      </c>
      <c r="CU82" s="521">
        <v>3485</v>
      </c>
      <c r="CV82" s="521">
        <v>3107</v>
      </c>
      <c r="CW82" s="522">
        <v>2265</v>
      </c>
      <c r="CX82" s="523">
        <f t="shared" ref="CX82:CX112" si="144">CV82/CT82</f>
        <v>0.81292517006802723</v>
      </c>
      <c r="CY82" s="663">
        <f t="shared" ref="CY82:CY112" si="145">CV82/CU82</f>
        <v>0.89153515064562405</v>
      </c>
      <c r="CZ82" s="523">
        <v>0.81292517006802723</v>
      </c>
      <c r="DA82" s="524">
        <v>0.89153515064562405</v>
      </c>
      <c r="DB82" s="535">
        <v>4720</v>
      </c>
      <c r="DC82" s="521">
        <v>3990</v>
      </c>
      <c r="DD82" s="521">
        <v>3667</v>
      </c>
      <c r="DE82" s="521">
        <v>3228</v>
      </c>
      <c r="DF82" s="522">
        <v>2428</v>
      </c>
      <c r="DG82" s="523">
        <f t="shared" ref="DG82:DG112" si="146">DE82/DC82</f>
        <v>0.80902255639097742</v>
      </c>
      <c r="DH82" s="663">
        <f t="shared" ref="DH82:DH112" si="147">DE82/DD82</f>
        <v>0.88028361058085625</v>
      </c>
      <c r="DI82" s="523">
        <v>0.80902255639097742</v>
      </c>
      <c r="DJ82" s="524">
        <v>0.88028361058085625</v>
      </c>
      <c r="DK82" s="535">
        <v>4905</v>
      </c>
      <c r="DL82" s="521">
        <v>4167</v>
      </c>
      <c r="DM82" s="521">
        <v>3856</v>
      </c>
      <c r="DN82" s="521">
        <v>3341</v>
      </c>
      <c r="DO82" s="522">
        <v>2366</v>
      </c>
      <c r="DP82" s="523">
        <f t="shared" ref="DP82:DP112" si="148">DN82/DL82</f>
        <v>0.80177585793136552</v>
      </c>
      <c r="DQ82" s="663">
        <f t="shared" ref="DQ82:DQ112" si="149">DN82/DM82</f>
        <v>0.86644190871369298</v>
      </c>
      <c r="DR82" s="523">
        <v>0.80177585793136552</v>
      </c>
      <c r="DS82" s="524">
        <v>0.86644190871369298</v>
      </c>
      <c r="DT82" s="535">
        <v>5715</v>
      </c>
      <c r="DU82" s="521">
        <v>4786</v>
      </c>
      <c r="DV82" s="521">
        <v>4457</v>
      </c>
      <c r="DW82" s="521">
        <v>3993</v>
      </c>
      <c r="DX82" s="522">
        <v>2800</v>
      </c>
      <c r="DY82" s="523">
        <f t="shared" ref="DY82:DY112" si="150">DW82/DU82</f>
        <v>0.83430839949853741</v>
      </c>
      <c r="DZ82" s="663">
        <f t="shared" ref="DZ82:DZ112" si="151">DW82/DV82</f>
        <v>0.89589409916984519</v>
      </c>
      <c r="EA82" s="523">
        <v>0.83430839949853741</v>
      </c>
      <c r="EB82" s="524">
        <v>0.89589409916984519</v>
      </c>
    </row>
    <row r="83" spans="1:132" s="2" customFormat="1" x14ac:dyDescent="0.25">
      <c r="A83" s="496" t="s">
        <v>273</v>
      </c>
      <c r="B83" s="497" t="s">
        <v>275</v>
      </c>
      <c r="C83" s="498" t="s">
        <v>276</v>
      </c>
      <c r="D83" s="545">
        <v>2800</v>
      </c>
      <c r="E83" s="546">
        <v>2413</v>
      </c>
      <c r="F83" s="546">
        <v>2307</v>
      </c>
      <c r="G83" s="546">
        <v>1137</v>
      </c>
      <c r="H83" s="546">
        <v>1120</v>
      </c>
      <c r="I83" s="547">
        <f t="shared" si="108"/>
        <v>0.47119767923746375</v>
      </c>
      <c r="J83" s="548">
        <f t="shared" si="109"/>
        <v>0.4928478543563069</v>
      </c>
      <c r="K83" s="545">
        <v>2103</v>
      </c>
      <c r="L83" s="546">
        <v>1851</v>
      </c>
      <c r="M83" s="546">
        <v>1735</v>
      </c>
      <c r="N83" s="546">
        <v>846</v>
      </c>
      <c r="O83" s="546">
        <v>845</v>
      </c>
      <c r="P83" s="547">
        <f t="shared" si="110"/>
        <v>0.45705024311183146</v>
      </c>
      <c r="Q83" s="548">
        <f t="shared" si="111"/>
        <v>0.48760806916426513</v>
      </c>
      <c r="R83" s="545">
        <v>1674</v>
      </c>
      <c r="S83" s="546">
        <v>1473</v>
      </c>
      <c r="T83" s="546">
        <v>1325</v>
      </c>
      <c r="U83" s="546">
        <v>717</v>
      </c>
      <c r="V83" s="546">
        <v>712</v>
      </c>
      <c r="W83" s="547">
        <f t="shared" si="106"/>
        <v>0.48676171079429736</v>
      </c>
      <c r="X83" s="548">
        <f t="shared" si="107"/>
        <v>0.54113207547169806</v>
      </c>
      <c r="Y83" s="545">
        <v>1650</v>
      </c>
      <c r="Z83" s="546">
        <v>1463</v>
      </c>
      <c r="AA83" s="546">
        <v>1323</v>
      </c>
      <c r="AB83" s="546">
        <v>746</v>
      </c>
      <c r="AC83" s="546">
        <v>735</v>
      </c>
      <c r="AD83" s="547">
        <f t="shared" si="112"/>
        <v>0.50991114149008887</v>
      </c>
      <c r="AE83" s="548">
        <f t="shared" si="113"/>
        <v>0.563869992441421</v>
      </c>
      <c r="AF83" s="545">
        <v>1445</v>
      </c>
      <c r="AG83" s="546">
        <v>1290</v>
      </c>
      <c r="AH83" s="546">
        <v>1193</v>
      </c>
      <c r="AI83" s="546">
        <v>725</v>
      </c>
      <c r="AJ83" s="546">
        <v>713</v>
      </c>
      <c r="AK83" s="547">
        <f t="shared" si="114"/>
        <v>0.56201550387596899</v>
      </c>
      <c r="AL83" s="548">
        <f t="shared" si="115"/>
        <v>0.60771165129924565</v>
      </c>
      <c r="AM83" s="545">
        <v>1374</v>
      </c>
      <c r="AN83" s="546">
        <v>1180</v>
      </c>
      <c r="AO83" s="546">
        <v>1092</v>
      </c>
      <c r="AP83" s="546">
        <v>624</v>
      </c>
      <c r="AQ83" s="546">
        <v>612</v>
      </c>
      <c r="AR83" s="547">
        <f t="shared" si="116"/>
        <v>0.52881355932203389</v>
      </c>
      <c r="AS83" s="548">
        <f t="shared" si="117"/>
        <v>0.5714285714285714</v>
      </c>
      <c r="AT83" s="545">
        <v>933</v>
      </c>
      <c r="AU83" s="546">
        <v>853</v>
      </c>
      <c r="AV83" s="546">
        <v>778</v>
      </c>
      <c r="AW83" s="546">
        <v>494</v>
      </c>
      <c r="AX83" s="546">
        <v>493</v>
      </c>
      <c r="AY83" s="547">
        <f t="shared" si="118"/>
        <v>0.57913247362250875</v>
      </c>
      <c r="AZ83" s="548">
        <f t="shared" si="119"/>
        <v>0.63496143958868889</v>
      </c>
      <c r="BA83" s="545">
        <v>840</v>
      </c>
      <c r="BB83" s="546">
        <v>750</v>
      </c>
      <c r="BC83" s="546">
        <v>677</v>
      </c>
      <c r="BD83" s="546">
        <v>438</v>
      </c>
      <c r="BE83" s="546">
        <v>435</v>
      </c>
      <c r="BF83" s="547">
        <f t="shared" si="120"/>
        <v>0.58399999999999996</v>
      </c>
      <c r="BG83" s="548">
        <f t="shared" si="121"/>
        <v>0.64697193500738548</v>
      </c>
      <c r="BH83" s="545">
        <v>800</v>
      </c>
      <c r="BI83" s="546">
        <v>728</v>
      </c>
      <c r="BJ83" s="546">
        <v>641</v>
      </c>
      <c r="BK83" s="546">
        <v>429</v>
      </c>
      <c r="BL83" s="546">
        <v>425</v>
      </c>
      <c r="BM83" s="547">
        <f t="shared" si="122"/>
        <v>0.5892857142857143</v>
      </c>
      <c r="BN83" s="548">
        <f t="shared" si="123"/>
        <v>0.66926677067082685</v>
      </c>
      <c r="BO83" s="545">
        <v>861</v>
      </c>
      <c r="BP83" s="546">
        <v>771</v>
      </c>
      <c r="BQ83" s="546">
        <v>659</v>
      </c>
      <c r="BR83" s="546">
        <v>425</v>
      </c>
      <c r="BS83" s="546">
        <v>421</v>
      </c>
      <c r="BT83" s="547">
        <f t="shared" si="124"/>
        <v>0.55123216601815828</v>
      </c>
      <c r="BU83" s="548">
        <f t="shared" si="125"/>
        <v>0.64491654021244305</v>
      </c>
      <c r="BV83" s="545">
        <v>942</v>
      </c>
      <c r="BW83" s="546">
        <v>865</v>
      </c>
      <c r="BX83" s="546">
        <v>754</v>
      </c>
      <c r="BY83" s="546">
        <v>702</v>
      </c>
      <c r="BZ83" s="546">
        <v>485</v>
      </c>
      <c r="CA83" s="547">
        <f t="shared" si="126"/>
        <v>0.81156069364161854</v>
      </c>
      <c r="CB83" s="548">
        <f t="shared" si="127"/>
        <v>0.93103448275862066</v>
      </c>
      <c r="CC83" s="545">
        <v>958</v>
      </c>
      <c r="CD83" s="546">
        <v>855</v>
      </c>
      <c r="CE83" s="546">
        <v>847</v>
      </c>
      <c r="CF83" s="546">
        <v>801</v>
      </c>
      <c r="CG83" s="546">
        <v>575</v>
      </c>
      <c r="CH83" s="547">
        <f t="shared" si="140"/>
        <v>0.93684210526315792</v>
      </c>
      <c r="CI83" s="548">
        <f t="shared" si="141"/>
        <v>0.94569067296340026</v>
      </c>
      <c r="CJ83" s="545">
        <v>1142</v>
      </c>
      <c r="CK83" s="546">
        <v>1024</v>
      </c>
      <c r="CL83" s="546">
        <v>1008</v>
      </c>
      <c r="CM83" s="546">
        <v>954</v>
      </c>
      <c r="CN83" s="546">
        <v>572</v>
      </c>
      <c r="CO83" s="547">
        <f t="shared" si="142"/>
        <v>0.931640625</v>
      </c>
      <c r="CP83" s="547">
        <f t="shared" si="143"/>
        <v>0.9464285714285714</v>
      </c>
      <c r="CQ83" s="547">
        <v>0.931640625</v>
      </c>
      <c r="CR83" s="548">
        <v>0.9464285714285714</v>
      </c>
      <c r="CS83" s="545">
        <v>1171</v>
      </c>
      <c r="CT83" s="546">
        <v>1040</v>
      </c>
      <c r="CU83" s="546">
        <v>888</v>
      </c>
      <c r="CV83" s="546">
        <v>816</v>
      </c>
      <c r="CW83" s="546">
        <v>574</v>
      </c>
      <c r="CX83" s="547">
        <f t="shared" si="144"/>
        <v>0.7846153846153846</v>
      </c>
      <c r="CY83" s="547">
        <f t="shared" si="145"/>
        <v>0.91891891891891897</v>
      </c>
      <c r="CZ83" s="547">
        <v>0.7846153846153846</v>
      </c>
      <c r="DA83" s="548">
        <v>0.91891891891891897</v>
      </c>
      <c r="DB83" s="545">
        <v>1365</v>
      </c>
      <c r="DC83" s="546">
        <v>1180</v>
      </c>
      <c r="DD83" s="546">
        <v>1020</v>
      </c>
      <c r="DE83" s="546">
        <v>947</v>
      </c>
      <c r="DF83" s="546">
        <v>693</v>
      </c>
      <c r="DG83" s="547">
        <f t="shared" si="146"/>
        <v>0.80254237288135588</v>
      </c>
      <c r="DH83" s="547">
        <f t="shared" si="147"/>
        <v>0.92843137254901964</v>
      </c>
      <c r="DI83" s="547">
        <v>0.80254237288135588</v>
      </c>
      <c r="DJ83" s="548">
        <v>0.92843137254901964</v>
      </c>
      <c r="DK83" s="545">
        <v>1414</v>
      </c>
      <c r="DL83" s="546">
        <v>1197</v>
      </c>
      <c r="DM83" s="546">
        <v>1020</v>
      </c>
      <c r="DN83" s="546">
        <v>879</v>
      </c>
      <c r="DO83" s="546">
        <v>595</v>
      </c>
      <c r="DP83" s="547">
        <f t="shared" si="148"/>
        <v>0.73433583959899751</v>
      </c>
      <c r="DQ83" s="547">
        <f t="shared" si="149"/>
        <v>0.86176470588235299</v>
      </c>
      <c r="DR83" s="547">
        <v>0.73433583959899751</v>
      </c>
      <c r="DS83" s="548">
        <v>0.86176470588235299</v>
      </c>
      <c r="DT83" s="545">
        <v>1665</v>
      </c>
      <c r="DU83" s="546">
        <v>1430</v>
      </c>
      <c r="DV83" s="546">
        <v>1277</v>
      </c>
      <c r="DW83" s="546">
        <v>1170</v>
      </c>
      <c r="DX83" s="546">
        <v>809</v>
      </c>
      <c r="DY83" s="547">
        <f t="shared" si="150"/>
        <v>0.81818181818181823</v>
      </c>
      <c r="DZ83" s="547">
        <f t="shared" si="151"/>
        <v>0.91620986687548944</v>
      </c>
      <c r="EA83" s="547">
        <v>0.81818181818181823</v>
      </c>
      <c r="EB83" s="548">
        <v>0.91620986687548944</v>
      </c>
    </row>
    <row r="84" spans="1:132" s="2" customFormat="1" x14ac:dyDescent="0.25">
      <c r="A84" s="496" t="s">
        <v>273</v>
      </c>
      <c r="B84" s="566" t="s">
        <v>277</v>
      </c>
      <c r="C84" s="498" t="s">
        <v>278</v>
      </c>
      <c r="D84" s="545">
        <v>2404</v>
      </c>
      <c r="E84" s="546">
        <v>2134</v>
      </c>
      <c r="F84" s="546">
        <v>2025</v>
      </c>
      <c r="G84" s="546">
        <v>604</v>
      </c>
      <c r="H84" s="546">
        <v>604</v>
      </c>
      <c r="I84" s="547">
        <f t="shared" si="108"/>
        <v>0.28303655107778819</v>
      </c>
      <c r="J84" s="548">
        <f t="shared" si="109"/>
        <v>0.2982716049382716</v>
      </c>
      <c r="K84" s="545">
        <v>2224</v>
      </c>
      <c r="L84" s="546">
        <v>1935</v>
      </c>
      <c r="M84" s="546">
        <v>1871</v>
      </c>
      <c r="N84" s="546">
        <v>588</v>
      </c>
      <c r="O84" s="546">
        <v>588</v>
      </c>
      <c r="P84" s="547">
        <f t="shared" si="110"/>
        <v>0.30387596899224806</v>
      </c>
      <c r="Q84" s="548">
        <f t="shared" si="111"/>
        <v>0.31427044361304113</v>
      </c>
      <c r="R84" s="545">
        <v>1488</v>
      </c>
      <c r="S84" s="546">
        <v>1388</v>
      </c>
      <c r="T84" s="546">
        <v>1301</v>
      </c>
      <c r="U84" s="546">
        <v>523</v>
      </c>
      <c r="V84" s="546">
        <v>508</v>
      </c>
      <c r="W84" s="547">
        <f t="shared" si="106"/>
        <v>0.37680115273775217</v>
      </c>
      <c r="X84" s="548">
        <f t="shared" si="107"/>
        <v>0.40199846272098388</v>
      </c>
      <c r="Y84" s="545">
        <v>1341</v>
      </c>
      <c r="Z84" s="546">
        <v>1237</v>
      </c>
      <c r="AA84" s="546">
        <v>1163</v>
      </c>
      <c r="AB84" s="546">
        <v>627</v>
      </c>
      <c r="AC84" s="546">
        <v>495</v>
      </c>
      <c r="AD84" s="547">
        <f t="shared" si="112"/>
        <v>0.50687146321746157</v>
      </c>
      <c r="AE84" s="548">
        <f t="shared" si="113"/>
        <v>0.5391229578675838</v>
      </c>
      <c r="AF84" s="545">
        <v>1368</v>
      </c>
      <c r="AG84" s="546">
        <v>1283</v>
      </c>
      <c r="AH84" s="546">
        <v>1187</v>
      </c>
      <c r="AI84" s="546">
        <v>592</v>
      </c>
      <c r="AJ84" s="546">
        <v>472</v>
      </c>
      <c r="AK84" s="547">
        <f t="shared" si="114"/>
        <v>0.46141855027279816</v>
      </c>
      <c r="AL84" s="548">
        <f t="shared" si="115"/>
        <v>0.4987363100252738</v>
      </c>
      <c r="AM84" s="545">
        <v>1238</v>
      </c>
      <c r="AN84" s="546">
        <v>1165</v>
      </c>
      <c r="AO84" s="546">
        <v>1035</v>
      </c>
      <c r="AP84" s="546">
        <v>512</v>
      </c>
      <c r="AQ84" s="546">
        <v>400</v>
      </c>
      <c r="AR84" s="547">
        <f t="shared" si="116"/>
        <v>0.43948497854077251</v>
      </c>
      <c r="AS84" s="548">
        <f t="shared" si="117"/>
        <v>0.49468599033816424</v>
      </c>
      <c r="AT84" s="545">
        <v>995</v>
      </c>
      <c r="AU84" s="546">
        <v>935</v>
      </c>
      <c r="AV84" s="546">
        <v>855</v>
      </c>
      <c r="AW84" s="546">
        <v>372</v>
      </c>
      <c r="AX84" s="546">
        <v>372</v>
      </c>
      <c r="AY84" s="547">
        <f t="shared" si="118"/>
        <v>0.39786096256684494</v>
      </c>
      <c r="AZ84" s="548">
        <f t="shared" si="119"/>
        <v>0.43508771929824563</v>
      </c>
      <c r="BA84" s="545">
        <v>916</v>
      </c>
      <c r="BB84" s="546">
        <v>859</v>
      </c>
      <c r="BC84" s="546">
        <v>768</v>
      </c>
      <c r="BD84" s="546">
        <v>416</v>
      </c>
      <c r="BE84" s="546">
        <v>416</v>
      </c>
      <c r="BF84" s="547">
        <f t="shared" si="120"/>
        <v>0.48428405122235157</v>
      </c>
      <c r="BG84" s="548">
        <f t="shared" si="121"/>
        <v>0.54166666666666663</v>
      </c>
      <c r="BH84" s="545">
        <v>923</v>
      </c>
      <c r="BI84" s="546">
        <v>837</v>
      </c>
      <c r="BJ84" s="546">
        <v>738</v>
      </c>
      <c r="BK84" s="546">
        <v>408</v>
      </c>
      <c r="BL84" s="546">
        <v>408</v>
      </c>
      <c r="BM84" s="547">
        <f t="shared" si="122"/>
        <v>0.48745519713261648</v>
      </c>
      <c r="BN84" s="548">
        <f t="shared" si="123"/>
        <v>0.55284552845528456</v>
      </c>
      <c r="BO84" s="545">
        <v>717</v>
      </c>
      <c r="BP84" s="546">
        <v>648</v>
      </c>
      <c r="BQ84" s="546">
        <v>537</v>
      </c>
      <c r="BR84" s="546">
        <v>388</v>
      </c>
      <c r="BS84" s="546">
        <v>388</v>
      </c>
      <c r="BT84" s="547">
        <f t="shared" si="124"/>
        <v>0.59876543209876543</v>
      </c>
      <c r="BU84" s="548">
        <f t="shared" si="125"/>
        <v>0.72253258845437618</v>
      </c>
      <c r="BV84" s="545">
        <v>977</v>
      </c>
      <c r="BW84" s="546">
        <v>907</v>
      </c>
      <c r="BX84" s="546">
        <v>782</v>
      </c>
      <c r="BY84" s="546">
        <v>552</v>
      </c>
      <c r="BZ84" s="546">
        <v>552</v>
      </c>
      <c r="CA84" s="547">
        <f t="shared" si="126"/>
        <v>0.6085997794928335</v>
      </c>
      <c r="CB84" s="548">
        <f t="shared" si="127"/>
        <v>0.70588235294117652</v>
      </c>
      <c r="CC84" s="545">
        <v>1326</v>
      </c>
      <c r="CD84" s="546">
        <v>1224</v>
      </c>
      <c r="CE84" s="546">
        <v>1100</v>
      </c>
      <c r="CF84" s="546">
        <v>713</v>
      </c>
      <c r="CG84" s="546">
        <v>568</v>
      </c>
      <c r="CH84" s="547">
        <f t="shared" si="140"/>
        <v>0.58251633986928109</v>
      </c>
      <c r="CI84" s="548">
        <f t="shared" si="141"/>
        <v>0.64818181818181819</v>
      </c>
      <c r="CJ84" s="545">
        <v>1277</v>
      </c>
      <c r="CK84" s="546">
        <v>1110</v>
      </c>
      <c r="CL84" s="546">
        <v>929</v>
      </c>
      <c r="CM84" s="546">
        <v>552</v>
      </c>
      <c r="CN84" s="546">
        <v>431</v>
      </c>
      <c r="CO84" s="547">
        <f t="shared" si="142"/>
        <v>0.49729729729729732</v>
      </c>
      <c r="CP84" s="547">
        <f t="shared" si="143"/>
        <v>0.59418729817007532</v>
      </c>
      <c r="CQ84" s="547">
        <v>0.49729729729729732</v>
      </c>
      <c r="CR84" s="548">
        <v>0.59418729817007532</v>
      </c>
      <c r="CS84" s="545">
        <v>1352</v>
      </c>
      <c r="CT84" s="546">
        <v>1179</v>
      </c>
      <c r="CU84" s="546">
        <v>955</v>
      </c>
      <c r="CV84" s="546">
        <v>618</v>
      </c>
      <c r="CW84" s="546">
        <v>479</v>
      </c>
      <c r="CX84" s="547">
        <f t="shared" si="144"/>
        <v>0.5241730279898219</v>
      </c>
      <c r="CY84" s="547">
        <f t="shared" si="145"/>
        <v>0.64712041884816751</v>
      </c>
      <c r="CZ84" s="547">
        <v>0.5241730279898219</v>
      </c>
      <c r="DA84" s="548">
        <v>0.64712041884816751</v>
      </c>
      <c r="DB84" s="545">
        <v>1369</v>
      </c>
      <c r="DC84" s="546">
        <v>1170</v>
      </c>
      <c r="DD84" s="546">
        <v>972</v>
      </c>
      <c r="DE84" s="546">
        <v>570</v>
      </c>
      <c r="DF84" s="546">
        <v>454</v>
      </c>
      <c r="DG84" s="547">
        <f t="shared" si="146"/>
        <v>0.48717948717948717</v>
      </c>
      <c r="DH84" s="547">
        <f t="shared" si="147"/>
        <v>0.5864197530864198</v>
      </c>
      <c r="DI84" s="547">
        <v>0.48717948717948717</v>
      </c>
      <c r="DJ84" s="548">
        <v>0.5864197530864198</v>
      </c>
      <c r="DK84" s="545">
        <v>1321</v>
      </c>
      <c r="DL84" s="546">
        <v>1177</v>
      </c>
      <c r="DM84" s="546">
        <v>1000</v>
      </c>
      <c r="DN84" s="546">
        <v>571</v>
      </c>
      <c r="DO84" s="546">
        <v>440</v>
      </c>
      <c r="DP84" s="547">
        <f t="shared" si="148"/>
        <v>0.4851316907391674</v>
      </c>
      <c r="DQ84" s="547">
        <f t="shared" si="149"/>
        <v>0.57099999999999995</v>
      </c>
      <c r="DR84" s="547">
        <v>0.4851316907391674</v>
      </c>
      <c r="DS84" s="548">
        <v>0.57099999999999995</v>
      </c>
      <c r="DT84" s="545">
        <v>1429</v>
      </c>
      <c r="DU84" s="546">
        <v>1246</v>
      </c>
      <c r="DV84" s="546">
        <v>1028</v>
      </c>
      <c r="DW84" s="546">
        <v>676</v>
      </c>
      <c r="DX84" s="546">
        <v>483</v>
      </c>
      <c r="DY84" s="547">
        <f t="shared" si="150"/>
        <v>0.5425361155698234</v>
      </c>
      <c r="DZ84" s="547">
        <f t="shared" si="151"/>
        <v>0.65758754863813229</v>
      </c>
      <c r="EA84" s="547">
        <v>0.5425361155698234</v>
      </c>
      <c r="EB84" s="548">
        <v>0.65758754863813229</v>
      </c>
    </row>
    <row r="85" spans="1:132" s="2" customFormat="1" x14ac:dyDescent="0.25">
      <c r="A85" s="503" t="s">
        <v>273</v>
      </c>
      <c r="B85" s="504" t="s">
        <v>279</v>
      </c>
      <c r="C85" s="505" t="s">
        <v>280</v>
      </c>
      <c r="D85" s="506">
        <v>3526</v>
      </c>
      <c r="E85" s="507">
        <v>3103</v>
      </c>
      <c r="F85" s="507">
        <v>2464</v>
      </c>
      <c r="G85" s="507">
        <v>2387</v>
      </c>
      <c r="H85" s="507">
        <v>1656</v>
      </c>
      <c r="I85" s="508">
        <f t="shared" si="108"/>
        <v>0.76925555913631971</v>
      </c>
      <c r="J85" s="509">
        <f t="shared" si="109"/>
        <v>0.96875</v>
      </c>
      <c r="K85" s="506">
        <v>3142</v>
      </c>
      <c r="L85" s="507">
        <v>2831</v>
      </c>
      <c r="M85" s="507">
        <v>2127</v>
      </c>
      <c r="N85" s="507">
        <v>1988</v>
      </c>
      <c r="O85" s="507">
        <v>1573</v>
      </c>
      <c r="P85" s="508">
        <f t="shared" si="110"/>
        <v>0.70222536206287534</v>
      </c>
      <c r="Q85" s="509">
        <f t="shared" si="111"/>
        <v>0.93464974141984014</v>
      </c>
      <c r="R85" s="506">
        <v>2677</v>
      </c>
      <c r="S85" s="507">
        <v>2358</v>
      </c>
      <c r="T85" s="507">
        <v>1850</v>
      </c>
      <c r="U85" s="507">
        <v>1792</v>
      </c>
      <c r="V85" s="507">
        <v>1408</v>
      </c>
      <c r="W85" s="508">
        <f t="shared" si="106"/>
        <v>0.7599660729431722</v>
      </c>
      <c r="X85" s="509">
        <f t="shared" si="107"/>
        <v>0.96864864864864864</v>
      </c>
      <c r="Y85" s="506">
        <v>2319</v>
      </c>
      <c r="Z85" s="507">
        <v>2057</v>
      </c>
      <c r="AA85" s="507">
        <v>1642</v>
      </c>
      <c r="AB85" s="507">
        <v>1540</v>
      </c>
      <c r="AC85" s="507">
        <v>1199</v>
      </c>
      <c r="AD85" s="508">
        <f t="shared" si="112"/>
        <v>0.74866310160427807</v>
      </c>
      <c r="AE85" s="509">
        <f t="shared" si="113"/>
        <v>0.93788063337393424</v>
      </c>
      <c r="AF85" s="506">
        <v>2081</v>
      </c>
      <c r="AG85" s="507">
        <v>1875</v>
      </c>
      <c r="AH85" s="507">
        <v>1479</v>
      </c>
      <c r="AI85" s="507">
        <v>1468</v>
      </c>
      <c r="AJ85" s="507">
        <v>1208</v>
      </c>
      <c r="AK85" s="508">
        <f t="shared" si="114"/>
        <v>0.78293333333333337</v>
      </c>
      <c r="AL85" s="509">
        <f t="shared" si="115"/>
        <v>0.99256254225828267</v>
      </c>
      <c r="AM85" s="506">
        <v>1572</v>
      </c>
      <c r="AN85" s="507">
        <v>1425</v>
      </c>
      <c r="AO85" s="507">
        <v>1425</v>
      </c>
      <c r="AP85" s="507">
        <v>1107</v>
      </c>
      <c r="AQ85" s="507">
        <v>921</v>
      </c>
      <c r="AR85" s="508">
        <f t="shared" si="116"/>
        <v>0.77684210526315789</v>
      </c>
      <c r="AS85" s="509">
        <f t="shared" si="117"/>
        <v>0.77684210526315789</v>
      </c>
      <c r="AT85" s="506">
        <v>1349</v>
      </c>
      <c r="AU85" s="507">
        <v>1213</v>
      </c>
      <c r="AV85" s="507">
        <v>980</v>
      </c>
      <c r="AW85" s="507">
        <v>854</v>
      </c>
      <c r="AX85" s="507">
        <v>789</v>
      </c>
      <c r="AY85" s="508">
        <f t="shared" si="118"/>
        <v>0.70403957131079964</v>
      </c>
      <c r="AZ85" s="509">
        <f t="shared" si="119"/>
        <v>0.87142857142857144</v>
      </c>
      <c r="BA85" s="506">
        <v>1038</v>
      </c>
      <c r="BB85" s="507">
        <v>946</v>
      </c>
      <c r="BC85" s="507">
        <v>798</v>
      </c>
      <c r="BD85" s="507">
        <v>707</v>
      </c>
      <c r="BE85" s="507">
        <v>657</v>
      </c>
      <c r="BF85" s="508">
        <f t="shared" si="120"/>
        <v>0.7473572938689218</v>
      </c>
      <c r="BG85" s="509">
        <f t="shared" si="121"/>
        <v>0.88596491228070173</v>
      </c>
      <c r="BH85" s="506">
        <v>1015</v>
      </c>
      <c r="BI85" s="507">
        <v>924</v>
      </c>
      <c r="BJ85" s="507">
        <v>788</v>
      </c>
      <c r="BK85" s="507">
        <v>690</v>
      </c>
      <c r="BL85" s="507">
        <v>666</v>
      </c>
      <c r="BM85" s="508">
        <f t="shared" si="122"/>
        <v>0.74675324675324672</v>
      </c>
      <c r="BN85" s="509">
        <f t="shared" si="123"/>
        <v>0.87563451776649748</v>
      </c>
      <c r="BO85" s="506">
        <v>978</v>
      </c>
      <c r="BP85" s="507">
        <v>873</v>
      </c>
      <c r="BQ85" s="507">
        <v>746</v>
      </c>
      <c r="BR85" s="507">
        <v>612</v>
      </c>
      <c r="BS85" s="507">
        <v>612</v>
      </c>
      <c r="BT85" s="508">
        <f t="shared" si="124"/>
        <v>0.7010309278350515</v>
      </c>
      <c r="BU85" s="509">
        <f t="shared" si="125"/>
        <v>0.82037533512064342</v>
      </c>
      <c r="BV85" s="506">
        <v>945</v>
      </c>
      <c r="BW85" s="507">
        <v>848</v>
      </c>
      <c r="BX85" s="507">
        <v>713</v>
      </c>
      <c r="BY85" s="507">
        <v>651</v>
      </c>
      <c r="BZ85" s="507">
        <v>639</v>
      </c>
      <c r="CA85" s="508">
        <f t="shared" si="126"/>
        <v>0.76768867924528306</v>
      </c>
      <c r="CB85" s="509">
        <f t="shared" si="127"/>
        <v>0.91304347826086951</v>
      </c>
      <c r="CC85" s="506">
        <v>1949</v>
      </c>
      <c r="CD85" s="507">
        <v>1755</v>
      </c>
      <c r="CE85" s="507">
        <v>1755</v>
      </c>
      <c r="CF85" s="507">
        <v>1755</v>
      </c>
      <c r="CG85" s="507">
        <v>1367</v>
      </c>
      <c r="CH85" s="508">
        <f t="shared" si="140"/>
        <v>1</v>
      </c>
      <c r="CI85" s="509">
        <f t="shared" si="141"/>
        <v>1</v>
      </c>
      <c r="CJ85" s="506">
        <v>2038</v>
      </c>
      <c r="CK85" s="507">
        <v>1861</v>
      </c>
      <c r="CL85" s="507">
        <v>1861</v>
      </c>
      <c r="CM85" s="507">
        <v>1861</v>
      </c>
      <c r="CN85" s="507">
        <v>1353</v>
      </c>
      <c r="CO85" s="508">
        <f t="shared" si="142"/>
        <v>1</v>
      </c>
      <c r="CP85" s="508">
        <f t="shared" si="143"/>
        <v>1</v>
      </c>
      <c r="CQ85" s="508">
        <v>1</v>
      </c>
      <c r="CR85" s="509">
        <v>1</v>
      </c>
      <c r="CS85" s="506">
        <v>1629</v>
      </c>
      <c r="CT85" s="507">
        <v>1484</v>
      </c>
      <c r="CU85" s="507">
        <v>1480</v>
      </c>
      <c r="CV85" s="507">
        <v>1475</v>
      </c>
      <c r="CW85" s="507">
        <v>1012</v>
      </c>
      <c r="CX85" s="508">
        <f t="shared" si="144"/>
        <v>0.9939353099730458</v>
      </c>
      <c r="CY85" s="508">
        <f t="shared" si="145"/>
        <v>0.9966216216216216</v>
      </c>
      <c r="CZ85" s="508">
        <v>0.9939353099730458</v>
      </c>
      <c r="DA85" s="509">
        <v>0.9966216216216216</v>
      </c>
      <c r="DB85" s="506">
        <v>1649</v>
      </c>
      <c r="DC85" s="507">
        <v>1476</v>
      </c>
      <c r="DD85" s="507">
        <v>1472</v>
      </c>
      <c r="DE85" s="507">
        <v>1460</v>
      </c>
      <c r="DF85" s="507">
        <v>1033</v>
      </c>
      <c r="DG85" s="508">
        <f t="shared" si="146"/>
        <v>0.98915989159891604</v>
      </c>
      <c r="DH85" s="508">
        <f t="shared" si="147"/>
        <v>0.99184782608695654</v>
      </c>
      <c r="DI85" s="508">
        <v>0.98915989159891604</v>
      </c>
      <c r="DJ85" s="509">
        <v>0.99184782608695654</v>
      </c>
      <c r="DK85" s="506">
        <v>1779</v>
      </c>
      <c r="DL85" s="507">
        <v>1617</v>
      </c>
      <c r="DM85" s="507">
        <v>1615</v>
      </c>
      <c r="DN85" s="507">
        <v>1605</v>
      </c>
      <c r="DO85" s="507">
        <v>1062</v>
      </c>
      <c r="DP85" s="508">
        <f t="shared" si="148"/>
        <v>0.99257884972170685</v>
      </c>
      <c r="DQ85" s="508">
        <f t="shared" si="149"/>
        <v>0.99380804953560375</v>
      </c>
      <c r="DR85" s="508">
        <v>0.99257884972170685</v>
      </c>
      <c r="DS85" s="509">
        <v>0.99380804953560375</v>
      </c>
      <c r="DT85" s="506">
        <v>2166</v>
      </c>
      <c r="DU85" s="507">
        <v>1909</v>
      </c>
      <c r="DV85" s="507">
        <v>1886</v>
      </c>
      <c r="DW85" s="507">
        <v>1834</v>
      </c>
      <c r="DX85" s="507">
        <v>1187</v>
      </c>
      <c r="DY85" s="508">
        <f t="shared" si="150"/>
        <v>0.96071241487689885</v>
      </c>
      <c r="DZ85" s="508">
        <f t="shared" si="151"/>
        <v>0.9724284199363733</v>
      </c>
      <c r="EA85" s="508">
        <v>0.96071241487689885</v>
      </c>
      <c r="EB85" s="509">
        <v>0.9724284199363733</v>
      </c>
    </row>
    <row r="86" spans="1:132" s="2" customFormat="1" x14ac:dyDescent="0.25">
      <c r="A86" s="511" t="s">
        <v>273</v>
      </c>
      <c r="B86" s="512" t="s">
        <v>281</v>
      </c>
      <c r="C86" s="532" t="s">
        <v>199</v>
      </c>
      <c r="D86" s="514">
        <v>159</v>
      </c>
      <c r="E86" s="515">
        <v>152</v>
      </c>
      <c r="F86" s="515">
        <v>152</v>
      </c>
      <c r="G86" s="515">
        <v>82</v>
      </c>
      <c r="H86" s="515">
        <v>75</v>
      </c>
      <c r="I86" s="516">
        <f t="shared" si="108"/>
        <v>0.53947368421052633</v>
      </c>
      <c r="J86" s="517">
        <f t="shared" si="109"/>
        <v>0.53947368421052633</v>
      </c>
      <c r="K86" s="514">
        <v>219</v>
      </c>
      <c r="L86" s="515">
        <v>210</v>
      </c>
      <c r="M86" s="515">
        <v>210</v>
      </c>
      <c r="N86" s="515">
        <v>129</v>
      </c>
      <c r="O86" s="515">
        <v>128</v>
      </c>
      <c r="P86" s="516">
        <f t="shared" si="110"/>
        <v>0.61428571428571432</v>
      </c>
      <c r="Q86" s="517">
        <f t="shared" si="111"/>
        <v>0.61428571428571432</v>
      </c>
      <c r="R86" s="514">
        <v>224</v>
      </c>
      <c r="S86" s="515">
        <v>216</v>
      </c>
      <c r="T86" s="515">
        <v>216</v>
      </c>
      <c r="U86" s="515">
        <v>122</v>
      </c>
      <c r="V86" s="515">
        <v>122</v>
      </c>
      <c r="W86" s="516">
        <f t="shared" si="106"/>
        <v>0.56481481481481477</v>
      </c>
      <c r="X86" s="517">
        <f t="shared" si="107"/>
        <v>0.56481481481481477</v>
      </c>
      <c r="Y86" s="514">
        <v>173</v>
      </c>
      <c r="Z86" s="515">
        <v>170</v>
      </c>
      <c r="AA86" s="515">
        <v>170</v>
      </c>
      <c r="AB86" s="515">
        <v>101</v>
      </c>
      <c r="AC86" s="515">
        <v>100</v>
      </c>
      <c r="AD86" s="516">
        <f t="shared" si="112"/>
        <v>0.59411764705882353</v>
      </c>
      <c r="AE86" s="517">
        <f t="shared" si="113"/>
        <v>0.59411764705882353</v>
      </c>
      <c r="AF86" s="514">
        <v>205</v>
      </c>
      <c r="AG86" s="515">
        <v>194</v>
      </c>
      <c r="AH86" s="515">
        <v>194</v>
      </c>
      <c r="AI86" s="515">
        <v>109</v>
      </c>
      <c r="AJ86" s="515">
        <v>109</v>
      </c>
      <c r="AK86" s="516">
        <f t="shared" si="114"/>
        <v>0.56185567010309279</v>
      </c>
      <c r="AL86" s="517">
        <f t="shared" si="115"/>
        <v>0.56185567010309279</v>
      </c>
      <c r="AM86" s="514">
        <v>228</v>
      </c>
      <c r="AN86" s="515">
        <v>227</v>
      </c>
      <c r="AO86" s="515">
        <v>227</v>
      </c>
      <c r="AP86" s="515">
        <v>145</v>
      </c>
      <c r="AQ86" s="515">
        <v>144</v>
      </c>
      <c r="AR86" s="516">
        <f t="shared" si="116"/>
        <v>0.63876651982378851</v>
      </c>
      <c r="AS86" s="517">
        <f t="shared" si="117"/>
        <v>0.63876651982378851</v>
      </c>
      <c r="AT86" s="514">
        <v>87</v>
      </c>
      <c r="AU86" s="515">
        <v>86</v>
      </c>
      <c r="AV86" s="515">
        <v>79</v>
      </c>
      <c r="AW86" s="515">
        <v>52</v>
      </c>
      <c r="AX86" s="515">
        <v>52</v>
      </c>
      <c r="AY86" s="516">
        <f t="shared" si="118"/>
        <v>0.60465116279069764</v>
      </c>
      <c r="AZ86" s="517">
        <f t="shared" si="119"/>
        <v>0.65822784810126578</v>
      </c>
      <c r="BA86" s="514">
        <v>113</v>
      </c>
      <c r="BB86" s="515">
        <v>112</v>
      </c>
      <c r="BC86" s="515">
        <v>110</v>
      </c>
      <c r="BD86" s="515">
        <v>77</v>
      </c>
      <c r="BE86" s="515">
        <v>77</v>
      </c>
      <c r="BF86" s="516">
        <f t="shared" si="120"/>
        <v>0.6875</v>
      </c>
      <c r="BG86" s="517">
        <f t="shared" si="121"/>
        <v>0.7</v>
      </c>
      <c r="BH86" s="514">
        <v>157</v>
      </c>
      <c r="BI86" s="515">
        <v>156</v>
      </c>
      <c r="BJ86" s="515">
        <v>156</v>
      </c>
      <c r="BK86" s="515">
        <v>118</v>
      </c>
      <c r="BL86" s="515">
        <v>118</v>
      </c>
      <c r="BM86" s="516">
        <f t="shared" si="122"/>
        <v>0.75641025641025639</v>
      </c>
      <c r="BN86" s="517">
        <f t="shared" si="123"/>
        <v>0.75641025641025639</v>
      </c>
      <c r="BO86" s="514">
        <v>142</v>
      </c>
      <c r="BP86" s="515">
        <v>141</v>
      </c>
      <c r="BQ86" s="515">
        <v>141</v>
      </c>
      <c r="BR86" s="515">
        <v>99</v>
      </c>
      <c r="BS86" s="515">
        <v>99</v>
      </c>
      <c r="BT86" s="516">
        <f t="shared" si="124"/>
        <v>0.7021276595744681</v>
      </c>
      <c r="BU86" s="517">
        <f t="shared" si="125"/>
        <v>0.7021276595744681</v>
      </c>
      <c r="BV86" s="514">
        <v>157</v>
      </c>
      <c r="BW86" s="515">
        <v>154</v>
      </c>
      <c r="BX86" s="515">
        <v>154</v>
      </c>
      <c r="BY86" s="515">
        <v>122</v>
      </c>
      <c r="BZ86" s="515">
        <v>122</v>
      </c>
      <c r="CA86" s="516">
        <f t="shared" si="126"/>
        <v>0.79220779220779225</v>
      </c>
      <c r="CB86" s="517">
        <f t="shared" si="127"/>
        <v>0.79220779220779225</v>
      </c>
      <c r="CC86" s="514">
        <v>136</v>
      </c>
      <c r="CD86" s="515">
        <v>136</v>
      </c>
      <c r="CE86" s="515">
        <v>136</v>
      </c>
      <c r="CF86" s="515">
        <v>136</v>
      </c>
      <c r="CG86" s="515">
        <v>114</v>
      </c>
      <c r="CH86" s="516">
        <f t="shared" si="140"/>
        <v>1</v>
      </c>
      <c r="CI86" s="517">
        <f t="shared" si="141"/>
        <v>1</v>
      </c>
      <c r="CJ86" s="514">
        <v>233</v>
      </c>
      <c r="CK86" s="515">
        <v>230</v>
      </c>
      <c r="CL86" s="515">
        <v>230</v>
      </c>
      <c r="CM86" s="515">
        <v>230</v>
      </c>
      <c r="CN86" s="515">
        <v>187</v>
      </c>
      <c r="CO86" s="516">
        <f t="shared" si="142"/>
        <v>1</v>
      </c>
      <c r="CP86" s="516">
        <f t="shared" si="143"/>
        <v>1</v>
      </c>
      <c r="CQ86" s="516">
        <v>1</v>
      </c>
      <c r="CR86" s="517">
        <v>1</v>
      </c>
      <c r="CS86" s="514">
        <v>277</v>
      </c>
      <c r="CT86" s="515">
        <v>270</v>
      </c>
      <c r="CU86" s="515">
        <v>270</v>
      </c>
      <c r="CV86" s="515">
        <v>270</v>
      </c>
      <c r="CW86" s="515">
        <v>208</v>
      </c>
      <c r="CX86" s="516">
        <f t="shared" si="144"/>
        <v>1</v>
      </c>
      <c r="CY86" s="516">
        <f t="shared" si="145"/>
        <v>1</v>
      </c>
      <c r="CZ86" s="516">
        <v>1</v>
      </c>
      <c r="DA86" s="517">
        <v>1</v>
      </c>
      <c r="DB86" s="514">
        <v>337</v>
      </c>
      <c r="DC86" s="515">
        <v>331</v>
      </c>
      <c r="DD86" s="515">
        <v>331</v>
      </c>
      <c r="DE86" s="515">
        <v>331</v>
      </c>
      <c r="DF86" s="515">
        <v>255</v>
      </c>
      <c r="DG86" s="516">
        <f t="shared" si="146"/>
        <v>1</v>
      </c>
      <c r="DH86" s="516">
        <f t="shared" si="147"/>
        <v>1</v>
      </c>
      <c r="DI86" s="516">
        <v>1</v>
      </c>
      <c r="DJ86" s="517">
        <v>1</v>
      </c>
      <c r="DK86" s="514">
        <v>391</v>
      </c>
      <c r="DL86" s="515">
        <v>381</v>
      </c>
      <c r="DM86" s="515">
        <v>381</v>
      </c>
      <c r="DN86" s="515">
        <v>381</v>
      </c>
      <c r="DO86" s="515">
        <v>279</v>
      </c>
      <c r="DP86" s="516">
        <f t="shared" si="148"/>
        <v>1</v>
      </c>
      <c r="DQ86" s="516">
        <f t="shared" si="149"/>
        <v>1</v>
      </c>
      <c r="DR86" s="516">
        <v>1</v>
      </c>
      <c r="DS86" s="517">
        <v>1</v>
      </c>
      <c r="DT86" s="514">
        <v>455</v>
      </c>
      <c r="DU86" s="515">
        <v>437</v>
      </c>
      <c r="DV86" s="515">
        <v>430</v>
      </c>
      <c r="DW86" s="515">
        <v>430</v>
      </c>
      <c r="DX86" s="515">
        <v>326</v>
      </c>
      <c r="DY86" s="516">
        <f t="shared" si="150"/>
        <v>0.98398169336384445</v>
      </c>
      <c r="DZ86" s="516">
        <f t="shared" si="151"/>
        <v>1</v>
      </c>
      <c r="EA86" s="516">
        <v>0.98398169336384445</v>
      </c>
      <c r="EB86" s="517">
        <v>1</v>
      </c>
    </row>
    <row r="87" spans="1:132" s="2" customFormat="1" x14ac:dyDescent="0.25">
      <c r="A87" s="533" t="s">
        <v>282</v>
      </c>
      <c r="B87" s="489" t="s">
        <v>283</v>
      </c>
      <c r="C87" s="565"/>
      <c r="D87" s="558">
        <v>10575</v>
      </c>
      <c r="E87" s="559">
        <v>8880</v>
      </c>
      <c r="F87" s="559">
        <v>8239</v>
      </c>
      <c r="G87" s="559">
        <v>7349</v>
      </c>
      <c r="H87" s="560">
        <v>5819</v>
      </c>
      <c r="I87" s="561">
        <f t="shared" si="108"/>
        <v>0.8275900900900901</v>
      </c>
      <c r="J87" s="562">
        <f t="shared" si="109"/>
        <v>0.89197718169680784</v>
      </c>
      <c r="K87" s="558">
        <v>12169</v>
      </c>
      <c r="L87" s="559">
        <v>9928</v>
      </c>
      <c r="M87" s="559">
        <v>9295</v>
      </c>
      <c r="N87" s="559">
        <v>7922</v>
      </c>
      <c r="O87" s="560">
        <v>6076</v>
      </c>
      <c r="P87" s="561">
        <f t="shared" si="110"/>
        <v>0.79794520547945202</v>
      </c>
      <c r="Q87" s="562">
        <f t="shared" si="111"/>
        <v>0.85228617536309847</v>
      </c>
      <c r="R87" s="558">
        <v>13019</v>
      </c>
      <c r="S87" s="559">
        <v>10583</v>
      </c>
      <c r="T87" s="559">
        <v>9932</v>
      </c>
      <c r="U87" s="559">
        <v>7406</v>
      </c>
      <c r="V87" s="560">
        <v>5912</v>
      </c>
      <c r="W87" s="561">
        <f t="shared" si="106"/>
        <v>0.6998015685533403</v>
      </c>
      <c r="X87" s="562">
        <f t="shared" si="107"/>
        <v>0.74567055980668551</v>
      </c>
      <c r="Y87" s="558">
        <v>11419</v>
      </c>
      <c r="Z87" s="559">
        <v>9269</v>
      </c>
      <c r="AA87" s="559">
        <v>8228</v>
      </c>
      <c r="AB87" s="559">
        <v>6242</v>
      </c>
      <c r="AC87" s="560">
        <v>5258</v>
      </c>
      <c r="AD87" s="561">
        <f t="shared" si="112"/>
        <v>0.67342755421296796</v>
      </c>
      <c r="AE87" s="562">
        <f t="shared" si="113"/>
        <v>0.75862907146329606</v>
      </c>
      <c r="AF87" s="558">
        <v>11062</v>
      </c>
      <c r="AG87" s="559">
        <v>9050</v>
      </c>
      <c r="AH87" s="559">
        <v>8041</v>
      </c>
      <c r="AI87" s="559">
        <v>6255</v>
      </c>
      <c r="AJ87" s="560">
        <v>5450</v>
      </c>
      <c r="AK87" s="561">
        <f t="shared" si="114"/>
        <v>0.69116022099447516</v>
      </c>
      <c r="AL87" s="562">
        <f t="shared" si="115"/>
        <v>0.77788832234796668</v>
      </c>
      <c r="AM87" s="558">
        <v>10079</v>
      </c>
      <c r="AN87" s="559">
        <v>8273</v>
      </c>
      <c r="AO87" s="559">
        <v>7508</v>
      </c>
      <c r="AP87" s="559">
        <v>5719</v>
      </c>
      <c r="AQ87" s="560">
        <v>4944</v>
      </c>
      <c r="AR87" s="561">
        <f t="shared" si="116"/>
        <v>0.69128490269551557</v>
      </c>
      <c r="AS87" s="562">
        <f t="shared" si="117"/>
        <v>0.76172083111347899</v>
      </c>
      <c r="AT87" s="558">
        <v>9649</v>
      </c>
      <c r="AU87" s="559">
        <v>7871</v>
      </c>
      <c r="AV87" s="559">
        <v>7351</v>
      </c>
      <c r="AW87" s="559">
        <v>5436</v>
      </c>
      <c r="AX87" s="560">
        <v>4735</v>
      </c>
      <c r="AY87" s="561">
        <f t="shared" si="118"/>
        <v>0.69063651378477953</v>
      </c>
      <c r="AZ87" s="562">
        <f t="shared" si="119"/>
        <v>0.7394912256835805</v>
      </c>
      <c r="BA87" s="558">
        <v>9082</v>
      </c>
      <c r="BB87" s="559">
        <v>7138</v>
      </c>
      <c r="BC87" s="559">
        <v>6622</v>
      </c>
      <c r="BD87" s="559">
        <v>4834</v>
      </c>
      <c r="BE87" s="560">
        <v>4100</v>
      </c>
      <c r="BF87" s="561">
        <f t="shared" si="120"/>
        <v>0.67722050994676375</v>
      </c>
      <c r="BG87" s="562">
        <f t="shared" si="121"/>
        <v>0.72999093929326486</v>
      </c>
      <c r="BH87" s="558">
        <v>8936</v>
      </c>
      <c r="BI87" s="559">
        <v>7148</v>
      </c>
      <c r="BJ87" s="559">
        <v>6596</v>
      </c>
      <c r="BK87" s="559">
        <v>4873</v>
      </c>
      <c r="BL87" s="560">
        <v>4203</v>
      </c>
      <c r="BM87" s="561">
        <f t="shared" si="122"/>
        <v>0.68172915500839393</v>
      </c>
      <c r="BN87" s="562">
        <f t="shared" si="123"/>
        <v>0.73878107944208615</v>
      </c>
      <c r="BO87" s="558">
        <v>8198</v>
      </c>
      <c r="BP87" s="559">
        <v>6557</v>
      </c>
      <c r="BQ87" s="559">
        <v>6056</v>
      </c>
      <c r="BR87" s="559">
        <v>4532</v>
      </c>
      <c r="BS87" s="560">
        <v>3834</v>
      </c>
      <c r="BT87" s="561">
        <f t="shared" si="124"/>
        <v>0.69116974226017991</v>
      </c>
      <c r="BU87" s="562">
        <f t="shared" si="125"/>
        <v>0.74834874504623516</v>
      </c>
      <c r="BV87" s="558">
        <v>8291</v>
      </c>
      <c r="BW87" s="559">
        <v>6519</v>
      </c>
      <c r="BX87" s="559">
        <v>5960</v>
      </c>
      <c r="BY87" s="559">
        <v>4446</v>
      </c>
      <c r="BZ87" s="560">
        <v>3918</v>
      </c>
      <c r="CA87" s="561">
        <f t="shared" si="126"/>
        <v>0.68200644270593647</v>
      </c>
      <c r="CB87" s="562">
        <f t="shared" si="127"/>
        <v>0.74597315436241607</v>
      </c>
      <c r="CC87" s="558">
        <v>8091</v>
      </c>
      <c r="CD87" s="559">
        <v>6533</v>
      </c>
      <c r="CE87" s="559">
        <v>6134</v>
      </c>
      <c r="CF87" s="559">
        <v>4351</v>
      </c>
      <c r="CG87" s="560">
        <v>3979</v>
      </c>
      <c r="CH87" s="561">
        <f t="shared" si="140"/>
        <v>0.666003367518751</v>
      </c>
      <c r="CI87" s="562">
        <f t="shared" si="141"/>
        <v>0.70932507336159112</v>
      </c>
      <c r="CJ87" s="558">
        <v>9361</v>
      </c>
      <c r="CK87" s="559">
        <v>7426</v>
      </c>
      <c r="CL87" s="559">
        <v>7046</v>
      </c>
      <c r="CM87" s="559">
        <v>4714</v>
      </c>
      <c r="CN87" s="560">
        <v>4272</v>
      </c>
      <c r="CO87" s="561">
        <f t="shared" si="142"/>
        <v>0.63479666038244009</v>
      </c>
      <c r="CP87" s="664">
        <f t="shared" si="143"/>
        <v>0.66903207493613392</v>
      </c>
      <c r="CQ87" s="561">
        <v>0.73027201723673585</v>
      </c>
      <c r="CR87" s="562">
        <v>0.76965654271927331</v>
      </c>
      <c r="CS87" s="558">
        <v>9291</v>
      </c>
      <c r="CT87" s="559">
        <v>7317</v>
      </c>
      <c r="CU87" s="559">
        <v>6355</v>
      </c>
      <c r="CV87" s="559">
        <v>4688</v>
      </c>
      <c r="CW87" s="560">
        <v>4132</v>
      </c>
      <c r="CX87" s="561">
        <f t="shared" si="144"/>
        <v>0.64069974033073662</v>
      </c>
      <c r="CY87" s="664">
        <f t="shared" si="145"/>
        <v>0.73768686073957512</v>
      </c>
      <c r="CZ87" s="561">
        <v>0.69167691676916765</v>
      </c>
      <c r="DA87" s="562">
        <v>0.7963808025177026</v>
      </c>
      <c r="DB87" s="558">
        <v>9553</v>
      </c>
      <c r="DC87" s="559">
        <v>7315</v>
      </c>
      <c r="DD87" s="559">
        <v>6640</v>
      </c>
      <c r="DE87" s="559">
        <v>4368</v>
      </c>
      <c r="DF87" s="560">
        <v>3887</v>
      </c>
      <c r="DG87" s="561">
        <f t="shared" si="146"/>
        <v>0.59712918660287084</v>
      </c>
      <c r="DH87" s="664">
        <f t="shared" si="147"/>
        <v>0.65783132530120481</v>
      </c>
      <c r="DI87" s="561">
        <v>0.72699931647300065</v>
      </c>
      <c r="DJ87" s="562">
        <v>0.80090361445783131</v>
      </c>
      <c r="DK87" s="558">
        <v>10319</v>
      </c>
      <c r="DL87" s="559">
        <v>7740</v>
      </c>
      <c r="DM87" s="559">
        <v>6780</v>
      </c>
      <c r="DN87" s="559">
        <v>4739</v>
      </c>
      <c r="DO87" s="560">
        <v>4255</v>
      </c>
      <c r="DP87" s="561">
        <f t="shared" si="148"/>
        <v>0.61227390180878549</v>
      </c>
      <c r="DQ87" s="664">
        <f t="shared" si="149"/>
        <v>0.69896755162241886</v>
      </c>
      <c r="DR87" s="561">
        <v>0.70581395348837206</v>
      </c>
      <c r="DS87" s="562">
        <v>0.80575221238938055</v>
      </c>
      <c r="DT87" s="558">
        <v>11278</v>
      </c>
      <c r="DU87" s="559">
        <v>8493</v>
      </c>
      <c r="DV87" s="559">
        <v>7427</v>
      </c>
      <c r="DW87" s="559">
        <v>5163</v>
      </c>
      <c r="DX87" s="560">
        <v>4581</v>
      </c>
      <c r="DY87" s="561">
        <f t="shared" si="150"/>
        <v>0.60791239844577882</v>
      </c>
      <c r="DZ87" s="664">
        <f t="shared" si="151"/>
        <v>0.69516628517571022</v>
      </c>
      <c r="EA87" s="561">
        <v>0.68067820558106673</v>
      </c>
      <c r="EB87" s="562">
        <v>0.77837619496431942</v>
      </c>
    </row>
    <row r="88" spans="1:132" s="2" customFormat="1" x14ac:dyDescent="0.25">
      <c r="A88" s="554" t="s">
        <v>282</v>
      </c>
      <c r="B88" s="555" t="s">
        <v>284</v>
      </c>
      <c r="C88" s="556" t="s">
        <v>285</v>
      </c>
      <c r="D88" s="499">
        <v>2296</v>
      </c>
      <c r="E88" s="500">
        <v>2289</v>
      </c>
      <c r="F88" s="500">
        <v>1858</v>
      </c>
      <c r="G88" s="500">
        <v>1523</v>
      </c>
      <c r="H88" s="500">
        <v>1254</v>
      </c>
      <c r="I88" s="501">
        <f t="shared" si="108"/>
        <v>0.66535605067715164</v>
      </c>
      <c r="J88" s="502">
        <f t="shared" si="109"/>
        <v>0.81969860064585576</v>
      </c>
      <c r="K88" s="499">
        <v>2309</v>
      </c>
      <c r="L88" s="500">
        <v>2307</v>
      </c>
      <c r="M88" s="500">
        <v>1873</v>
      </c>
      <c r="N88" s="500">
        <v>1455</v>
      </c>
      <c r="O88" s="500">
        <v>1172</v>
      </c>
      <c r="P88" s="501">
        <f t="shared" si="110"/>
        <v>0.63068920676202855</v>
      </c>
      <c r="Q88" s="502">
        <f t="shared" si="111"/>
        <v>0.77682861719167107</v>
      </c>
      <c r="R88" s="499">
        <v>2442</v>
      </c>
      <c r="S88" s="500">
        <v>2090</v>
      </c>
      <c r="T88" s="500">
        <v>1680</v>
      </c>
      <c r="U88" s="500">
        <v>1271</v>
      </c>
      <c r="V88" s="500">
        <v>1045</v>
      </c>
      <c r="W88" s="501">
        <f t="shared" si="106"/>
        <v>0.60813397129186608</v>
      </c>
      <c r="X88" s="502">
        <f t="shared" si="107"/>
        <v>0.75654761904761902</v>
      </c>
      <c r="Y88" s="499">
        <v>2381</v>
      </c>
      <c r="Z88" s="500">
        <v>2041</v>
      </c>
      <c r="AA88" s="500">
        <v>1736</v>
      </c>
      <c r="AB88" s="500">
        <v>1265</v>
      </c>
      <c r="AC88" s="500">
        <v>1019</v>
      </c>
      <c r="AD88" s="501">
        <f t="shared" si="112"/>
        <v>0.61979421852033312</v>
      </c>
      <c r="AE88" s="502">
        <f t="shared" si="113"/>
        <v>0.72868663594470051</v>
      </c>
      <c r="AF88" s="499">
        <v>2185</v>
      </c>
      <c r="AG88" s="500">
        <v>1855</v>
      </c>
      <c r="AH88" s="500">
        <v>1442</v>
      </c>
      <c r="AI88" s="500">
        <v>1306</v>
      </c>
      <c r="AJ88" s="500">
        <v>1101</v>
      </c>
      <c r="AK88" s="501">
        <f t="shared" si="114"/>
        <v>0.70404312668463609</v>
      </c>
      <c r="AL88" s="502">
        <f t="shared" si="115"/>
        <v>0.90568654646324553</v>
      </c>
      <c r="AM88" s="499">
        <v>1796</v>
      </c>
      <c r="AN88" s="500">
        <v>1520</v>
      </c>
      <c r="AO88" s="500">
        <v>1292</v>
      </c>
      <c r="AP88" s="500">
        <v>1020</v>
      </c>
      <c r="AQ88" s="500">
        <v>865</v>
      </c>
      <c r="AR88" s="501">
        <f t="shared" si="116"/>
        <v>0.67105263157894735</v>
      </c>
      <c r="AS88" s="502">
        <f t="shared" si="117"/>
        <v>0.78947368421052633</v>
      </c>
      <c r="AT88" s="499">
        <v>1678</v>
      </c>
      <c r="AU88" s="500">
        <v>1434</v>
      </c>
      <c r="AV88" s="500">
        <v>1203</v>
      </c>
      <c r="AW88" s="500">
        <v>956</v>
      </c>
      <c r="AX88" s="500">
        <v>817</v>
      </c>
      <c r="AY88" s="501">
        <f t="shared" si="118"/>
        <v>0.66666666666666663</v>
      </c>
      <c r="AZ88" s="502">
        <f t="shared" si="119"/>
        <v>0.79467996674979213</v>
      </c>
      <c r="BA88" s="499">
        <v>1522</v>
      </c>
      <c r="BB88" s="500">
        <v>1266</v>
      </c>
      <c r="BC88" s="500">
        <v>1019</v>
      </c>
      <c r="BD88" s="500">
        <v>840</v>
      </c>
      <c r="BE88" s="500">
        <v>701</v>
      </c>
      <c r="BF88" s="501">
        <f t="shared" si="120"/>
        <v>0.6635071090047393</v>
      </c>
      <c r="BG88" s="502">
        <f t="shared" si="121"/>
        <v>0.82433758586849848</v>
      </c>
      <c r="BH88" s="499">
        <v>1328</v>
      </c>
      <c r="BI88" s="500">
        <v>1158</v>
      </c>
      <c r="BJ88" s="500">
        <v>1039</v>
      </c>
      <c r="BK88" s="500">
        <v>770</v>
      </c>
      <c r="BL88" s="500">
        <v>672</v>
      </c>
      <c r="BM88" s="501">
        <f t="shared" si="122"/>
        <v>0.66493955094991364</v>
      </c>
      <c r="BN88" s="502">
        <f t="shared" si="123"/>
        <v>0.7410972088546679</v>
      </c>
      <c r="BO88" s="499">
        <v>1235</v>
      </c>
      <c r="BP88" s="500">
        <v>1066</v>
      </c>
      <c r="BQ88" s="500">
        <v>966</v>
      </c>
      <c r="BR88" s="500">
        <v>721</v>
      </c>
      <c r="BS88" s="500">
        <v>621</v>
      </c>
      <c r="BT88" s="501">
        <f t="shared" si="124"/>
        <v>0.67636022514071292</v>
      </c>
      <c r="BU88" s="502">
        <f t="shared" si="125"/>
        <v>0.74637681159420288</v>
      </c>
      <c r="BV88" s="499">
        <v>1268</v>
      </c>
      <c r="BW88" s="500">
        <v>1066</v>
      </c>
      <c r="BX88" s="500">
        <v>951</v>
      </c>
      <c r="BY88" s="500">
        <v>674</v>
      </c>
      <c r="BZ88" s="500">
        <v>586</v>
      </c>
      <c r="CA88" s="501">
        <f t="shared" si="126"/>
        <v>0.63227016885553466</v>
      </c>
      <c r="CB88" s="502">
        <f t="shared" si="127"/>
        <v>0.70872765509989488</v>
      </c>
      <c r="CC88" s="499">
        <v>1355</v>
      </c>
      <c r="CD88" s="500">
        <v>1155</v>
      </c>
      <c r="CE88" s="500">
        <v>1155</v>
      </c>
      <c r="CF88" s="500">
        <v>849</v>
      </c>
      <c r="CG88" s="500">
        <v>767</v>
      </c>
      <c r="CH88" s="501">
        <f t="shared" si="140"/>
        <v>0.73506493506493509</v>
      </c>
      <c r="CI88" s="502">
        <f t="shared" si="141"/>
        <v>0.73506493506493509</v>
      </c>
      <c r="CJ88" s="499">
        <v>1875</v>
      </c>
      <c r="CK88" s="500">
        <v>1563</v>
      </c>
      <c r="CL88" s="500">
        <v>1563</v>
      </c>
      <c r="CM88" s="500">
        <v>1077</v>
      </c>
      <c r="CN88" s="500">
        <v>968</v>
      </c>
      <c r="CO88" s="501">
        <f t="shared" si="142"/>
        <v>0.68905950095969293</v>
      </c>
      <c r="CP88" s="501">
        <f t="shared" si="143"/>
        <v>0.68905950095969293</v>
      </c>
      <c r="CQ88" s="501">
        <v>0.89635316698656431</v>
      </c>
      <c r="CR88" s="502">
        <v>0.89635316698656431</v>
      </c>
      <c r="CS88" s="499">
        <v>1781</v>
      </c>
      <c r="CT88" s="500">
        <v>1398</v>
      </c>
      <c r="CU88" s="500">
        <v>1224</v>
      </c>
      <c r="CV88" s="500">
        <v>992</v>
      </c>
      <c r="CW88" s="500">
        <v>849</v>
      </c>
      <c r="CX88" s="501">
        <f t="shared" si="144"/>
        <v>0.70958512160228904</v>
      </c>
      <c r="CY88" s="501">
        <f t="shared" si="145"/>
        <v>0.81045751633986929</v>
      </c>
      <c r="CZ88" s="501">
        <v>0.74248927038626611</v>
      </c>
      <c r="DA88" s="502">
        <v>0.84803921568627449</v>
      </c>
      <c r="DB88" s="499">
        <v>1924</v>
      </c>
      <c r="DC88" s="500">
        <v>1506</v>
      </c>
      <c r="DD88" s="500">
        <v>1352</v>
      </c>
      <c r="DE88" s="500">
        <v>1050</v>
      </c>
      <c r="DF88" s="500">
        <v>917</v>
      </c>
      <c r="DG88" s="501">
        <f t="shared" si="146"/>
        <v>0.6972111553784861</v>
      </c>
      <c r="DH88" s="501">
        <f t="shared" si="147"/>
        <v>0.77662721893491127</v>
      </c>
      <c r="DI88" s="501">
        <v>0.8074369189907038</v>
      </c>
      <c r="DJ88" s="502">
        <v>0.89940828402366868</v>
      </c>
      <c r="DK88" s="499">
        <v>2109</v>
      </c>
      <c r="DL88" s="500">
        <v>1604</v>
      </c>
      <c r="DM88" s="500">
        <v>1409</v>
      </c>
      <c r="DN88" s="500">
        <v>1121</v>
      </c>
      <c r="DO88" s="500">
        <v>1010</v>
      </c>
      <c r="DP88" s="501">
        <f t="shared" si="148"/>
        <v>0.69887780548628431</v>
      </c>
      <c r="DQ88" s="501">
        <f t="shared" si="149"/>
        <v>0.79559971611071678</v>
      </c>
      <c r="DR88" s="501">
        <v>0.76932668329177056</v>
      </c>
      <c r="DS88" s="502">
        <v>0.87579843860894246</v>
      </c>
      <c r="DT88" s="499">
        <v>2424</v>
      </c>
      <c r="DU88" s="500">
        <v>1857</v>
      </c>
      <c r="DV88" s="500">
        <v>1745</v>
      </c>
      <c r="DW88" s="500">
        <v>1295</v>
      </c>
      <c r="DX88" s="500">
        <v>1109</v>
      </c>
      <c r="DY88" s="501">
        <f t="shared" si="150"/>
        <v>0.69736133548734514</v>
      </c>
      <c r="DZ88" s="501">
        <f t="shared" si="151"/>
        <v>0.74212034383954151</v>
      </c>
      <c r="EA88" s="501">
        <v>0.80506192784060315</v>
      </c>
      <c r="EB88" s="502">
        <v>0.85673352435530081</v>
      </c>
    </row>
    <row r="89" spans="1:132" s="2" customFormat="1" x14ac:dyDescent="0.25">
      <c r="A89" s="503" t="s">
        <v>282</v>
      </c>
      <c r="B89" s="504" t="s">
        <v>286</v>
      </c>
      <c r="C89" s="505" t="s">
        <v>287</v>
      </c>
      <c r="D89" s="506">
        <v>1603</v>
      </c>
      <c r="E89" s="507">
        <v>1600</v>
      </c>
      <c r="F89" s="507">
        <v>1600</v>
      </c>
      <c r="G89" s="507">
        <v>1146</v>
      </c>
      <c r="H89" s="507">
        <v>801</v>
      </c>
      <c r="I89" s="508">
        <f t="shared" si="108"/>
        <v>0.71625000000000005</v>
      </c>
      <c r="J89" s="509">
        <f t="shared" si="109"/>
        <v>0.71625000000000005</v>
      </c>
      <c r="K89" s="506">
        <v>1896</v>
      </c>
      <c r="L89" s="507">
        <v>1863</v>
      </c>
      <c r="M89" s="507">
        <v>1863</v>
      </c>
      <c r="N89" s="507">
        <v>1592</v>
      </c>
      <c r="O89" s="507">
        <v>1126</v>
      </c>
      <c r="P89" s="508">
        <f t="shared" si="110"/>
        <v>0.85453569511540528</v>
      </c>
      <c r="Q89" s="509">
        <f t="shared" si="111"/>
        <v>0.85453569511540528</v>
      </c>
      <c r="R89" s="506">
        <v>1514</v>
      </c>
      <c r="S89" s="507">
        <v>1497</v>
      </c>
      <c r="T89" s="507">
        <v>1497</v>
      </c>
      <c r="U89" s="507">
        <v>1113</v>
      </c>
      <c r="V89" s="507">
        <v>837</v>
      </c>
      <c r="W89" s="508">
        <f t="shared" si="106"/>
        <v>0.74348697394789576</v>
      </c>
      <c r="X89" s="509">
        <f t="shared" si="107"/>
        <v>0.74348697394789576</v>
      </c>
      <c r="Y89" s="506">
        <v>1491</v>
      </c>
      <c r="Z89" s="507">
        <v>1469</v>
      </c>
      <c r="AA89" s="507">
        <v>1168</v>
      </c>
      <c r="AB89" s="507">
        <v>1071</v>
      </c>
      <c r="AC89" s="507">
        <v>844</v>
      </c>
      <c r="AD89" s="508">
        <f t="shared" si="112"/>
        <v>0.72906739278420696</v>
      </c>
      <c r="AE89" s="509">
        <f t="shared" si="113"/>
        <v>0.91695205479452058</v>
      </c>
      <c r="AF89" s="506">
        <v>1301</v>
      </c>
      <c r="AG89" s="507">
        <v>1268</v>
      </c>
      <c r="AH89" s="507">
        <v>959</v>
      </c>
      <c r="AI89" s="507">
        <v>913</v>
      </c>
      <c r="AJ89" s="507">
        <v>718</v>
      </c>
      <c r="AK89" s="508">
        <f t="shared" si="114"/>
        <v>0.72003154574132489</v>
      </c>
      <c r="AL89" s="509">
        <f t="shared" si="115"/>
        <v>0.9520333680917622</v>
      </c>
      <c r="AM89" s="506">
        <v>1371</v>
      </c>
      <c r="AN89" s="507">
        <v>1350</v>
      </c>
      <c r="AO89" s="507">
        <v>1305</v>
      </c>
      <c r="AP89" s="507">
        <v>1072</v>
      </c>
      <c r="AQ89" s="507">
        <v>842</v>
      </c>
      <c r="AR89" s="508">
        <f t="shared" si="116"/>
        <v>0.79407407407407404</v>
      </c>
      <c r="AS89" s="509">
        <f t="shared" si="117"/>
        <v>0.82145593869731803</v>
      </c>
      <c r="AT89" s="506">
        <v>1308</v>
      </c>
      <c r="AU89" s="507">
        <v>1285</v>
      </c>
      <c r="AV89" s="507">
        <v>1285</v>
      </c>
      <c r="AW89" s="507">
        <v>981</v>
      </c>
      <c r="AX89" s="507">
        <v>787</v>
      </c>
      <c r="AY89" s="508">
        <f t="shared" si="118"/>
        <v>0.76342412451361863</v>
      </c>
      <c r="AZ89" s="509">
        <f t="shared" si="119"/>
        <v>0.76342412451361863</v>
      </c>
      <c r="BA89" s="506">
        <v>1221</v>
      </c>
      <c r="BB89" s="507">
        <v>1170</v>
      </c>
      <c r="BC89" s="507">
        <v>1126</v>
      </c>
      <c r="BD89" s="507">
        <v>856</v>
      </c>
      <c r="BE89" s="507">
        <v>621</v>
      </c>
      <c r="BF89" s="508">
        <f t="shared" si="120"/>
        <v>0.73162393162393158</v>
      </c>
      <c r="BG89" s="509">
        <f t="shared" si="121"/>
        <v>0.76021314387211369</v>
      </c>
      <c r="BH89" s="506">
        <v>1311</v>
      </c>
      <c r="BI89" s="507">
        <v>1267</v>
      </c>
      <c r="BJ89" s="507">
        <v>1253</v>
      </c>
      <c r="BK89" s="507">
        <v>968</v>
      </c>
      <c r="BL89" s="507">
        <v>753</v>
      </c>
      <c r="BM89" s="508">
        <f t="shared" si="122"/>
        <v>0.76400947119179163</v>
      </c>
      <c r="BN89" s="509">
        <f t="shared" si="123"/>
        <v>0.7725458898643256</v>
      </c>
      <c r="BO89" s="506">
        <v>1069</v>
      </c>
      <c r="BP89" s="507">
        <v>1035</v>
      </c>
      <c r="BQ89" s="507">
        <v>992</v>
      </c>
      <c r="BR89" s="507">
        <v>781</v>
      </c>
      <c r="BS89" s="507">
        <v>584</v>
      </c>
      <c r="BT89" s="508">
        <f t="shared" si="124"/>
        <v>0.75458937198067633</v>
      </c>
      <c r="BU89" s="509">
        <f t="shared" si="125"/>
        <v>0.78729838709677424</v>
      </c>
      <c r="BV89" s="506">
        <v>899</v>
      </c>
      <c r="BW89" s="507">
        <v>878</v>
      </c>
      <c r="BX89" s="507">
        <v>735</v>
      </c>
      <c r="BY89" s="507">
        <v>504</v>
      </c>
      <c r="BZ89" s="507">
        <v>504</v>
      </c>
      <c r="CA89" s="508">
        <f t="shared" si="126"/>
        <v>0.57403189066059224</v>
      </c>
      <c r="CB89" s="509">
        <f t="shared" si="127"/>
        <v>0.68571428571428572</v>
      </c>
      <c r="CC89" s="506">
        <v>891</v>
      </c>
      <c r="CD89" s="507">
        <v>883</v>
      </c>
      <c r="CE89" s="507">
        <v>774</v>
      </c>
      <c r="CF89" s="507">
        <v>555</v>
      </c>
      <c r="CG89" s="507">
        <v>555</v>
      </c>
      <c r="CH89" s="508">
        <f t="shared" si="140"/>
        <v>0.62853907134767839</v>
      </c>
      <c r="CI89" s="509">
        <f t="shared" si="141"/>
        <v>0.71705426356589153</v>
      </c>
      <c r="CJ89" s="506">
        <v>916</v>
      </c>
      <c r="CK89" s="507">
        <v>911</v>
      </c>
      <c r="CL89" s="507">
        <v>911</v>
      </c>
      <c r="CM89" s="507">
        <v>655</v>
      </c>
      <c r="CN89" s="507">
        <v>571</v>
      </c>
      <c r="CO89" s="508">
        <f t="shared" si="142"/>
        <v>0.71899012074643254</v>
      </c>
      <c r="CP89" s="508">
        <f t="shared" si="143"/>
        <v>0.71899012074643254</v>
      </c>
      <c r="CQ89" s="508">
        <v>0.71899012074643254</v>
      </c>
      <c r="CR89" s="509">
        <v>0.71899012074643254</v>
      </c>
      <c r="CS89" s="506">
        <v>619</v>
      </c>
      <c r="CT89" s="507">
        <v>613</v>
      </c>
      <c r="CU89" s="507">
        <v>579</v>
      </c>
      <c r="CV89" s="507">
        <v>430</v>
      </c>
      <c r="CW89" s="507">
        <v>363</v>
      </c>
      <c r="CX89" s="508">
        <f t="shared" si="144"/>
        <v>0.70146818923327892</v>
      </c>
      <c r="CY89" s="508">
        <f t="shared" si="145"/>
        <v>0.7426597582037997</v>
      </c>
      <c r="CZ89" s="508">
        <v>0.70146818923327892</v>
      </c>
      <c r="DA89" s="509">
        <v>0.7426597582037997</v>
      </c>
      <c r="DB89" s="506">
        <v>748</v>
      </c>
      <c r="DC89" s="507">
        <v>724</v>
      </c>
      <c r="DD89" s="507">
        <v>684</v>
      </c>
      <c r="DE89" s="507">
        <v>489</v>
      </c>
      <c r="DF89" s="507">
        <v>394</v>
      </c>
      <c r="DG89" s="508">
        <f t="shared" si="146"/>
        <v>0.675414364640884</v>
      </c>
      <c r="DH89" s="508">
        <f t="shared" si="147"/>
        <v>0.71491228070175439</v>
      </c>
      <c r="DI89" s="508">
        <v>0.89640883977900554</v>
      </c>
      <c r="DJ89" s="509">
        <v>0.94883040935672514</v>
      </c>
      <c r="DK89" s="506">
        <v>951</v>
      </c>
      <c r="DL89" s="507">
        <v>925</v>
      </c>
      <c r="DM89" s="507">
        <v>873</v>
      </c>
      <c r="DN89" s="507">
        <v>610</v>
      </c>
      <c r="DO89" s="507">
        <v>499</v>
      </c>
      <c r="DP89" s="508">
        <f t="shared" si="148"/>
        <v>0.6594594594594595</v>
      </c>
      <c r="DQ89" s="508">
        <f t="shared" si="149"/>
        <v>0.69873997709049251</v>
      </c>
      <c r="DR89" s="508">
        <v>0.89405405405405403</v>
      </c>
      <c r="DS89" s="509">
        <v>0.94730813287514315</v>
      </c>
      <c r="DT89" s="506">
        <v>986</v>
      </c>
      <c r="DU89" s="507">
        <v>956</v>
      </c>
      <c r="DV89" s="507">
        <v>905</v>
      </c>
      <c r="DW89" s="507">
        <v>668</v>
      </c>
      <c r="DX89" s="507">
        <v>522</v>
      </c>
      <c r="DY89" s="508">
        <f t="shared" si="150"/>
        <v>0.69874476987447698</v>
      </c>
      <c r="DZ89" s="508">
        <f t="shared" si="151"/>
        <v>0.73812154696132593</v>
      </c>
      <c r="EA89" s="508">
        <v>0.88389121338912136</v>
      </c>
      <c r="EB89" s="509">
        <v>0.93370165745856348</v>
      </c>
    </row>
    <row r="90" spans="1:132" s="2" customFormat="1" x14ac:dyDescent="0.25">
      <c r="A90" s="503" t="s">
        <v>282</v>
      </c>
      <c r="B90" s="504" t="s">
        <v>288</v>
      </c>
      <c r="C90" s="505" t="s">
        <v>289</v>
      </c>
      <c r="D90" s="506">
        <v>3180</v>
      </c>
      <c r="E90" s="507">
        <v>2775</v>
      </c>
      <c r="F90" s="507">
        <v>2744</v>
      </c>
      <c r="G90" s="507">
        <v>2716</v>
      </c>
      <c r="H90" s="507">
        <v>1781</v>
      </c>
      <c r="I90" s="508">
        <f t="shared" si="108"/>
        <v>0.97873873873873873</v>
      </c>
      <c r="J90" s="509">
        <f t="shared" si="109"/>
        <v>0.98979591836734693</v>
      </c>
      <c r="K90" s="506">
        <v>2789</v>
      </c>
      <c r="L90" s="507">
        <v>2359</v>
      </c>
      <c r="M90" s="507">
        <v>2298</v>
      </c>
      <c r="N90" s="507">
        <v>2251</v>
      </c>
      <c r="O90" s="507">
        <v>1460</v>
      </c>
      <c r="P90" s="508">
        <f t="shared" si="110"/>
        <v>0.9542178889359898</v>
      </c>
      <c r="Q90" s="509">
        <f t="shared" si="111"/>
        <v>0.97954743255004351</v>
      </c>
      <c r="R90" s="506">
        <v>2507</v>
      </c>
      <c r="S90" s="507">
        <v>2193</v>
      </c>
      <c r="T90" s="507">
        <v>2164</v>
      </c>
      <c r="U90" s="507">
        <v>2130</v>
      </c>
      <c r="V90" s="507">
        <v>1479</v>
      </c>
      <c r="W90" s="508">
        <f t="shared" si="106"/>
        <v>0.97127222982216144</v>
      </c>
      <c r="X90" s="509">
        <f t="shared" si="107"/>
        <v>0.98428835489833644</v>
      </c>
      <c r="Y90" s="506">
        <v>1521</v>
      </c>
      <c r="Z90" s="507">
        <v>1348</v>
      </c>
      <c r="AA90" s="507">
        <v>1071</v>
      </c>
      <c r="AB90" s="507">
        <v>900</v>
      </c>
      <c r="AC90" s="507">
        <v>635</v>
      </c>
      <c r="AD90" s="508">
        <f t="shared" si="112"/>
        <v>0.66765578635014833</v>
      </c>
      <c r="AE90" s="509">
        <f t="shared" si="113"/>
        <v>0.84033613445378152</v>
      </c>
      <c r="AF90" s="506">
        <v>1430</v>
      </c>
      <c r="AG90" s="507">
        <v>1279</v>
      </c>
      <c r="AH90" s="507">
        <v>1087</v>
      </c>
      <c r="AI90" s="507">
        <v>758</v>
      </c>
      <c r="AJ90" s="507">
        <v>642</v>
      </c>
      <c r="AK90" s="508">
        <f t="shared" si="114"/>
        <v>0.59265050820953868</v>
      </c>
      <c r="AL90" s="509">
        <f t="shared" si="115"/>
        <v>0.69733210671573143</v>
      </c>
      <c r="AM90" s="506">
        <v>1311</v>
      </c>
      <c r="AN90" s="507">
        <v>1166</v>
      </c>
      <c r="AO90" s="507">
        <v>999</v>
      </c>
      <c r="AP90" s="507">
        <v>698</v>
      </c>
      <c r="AQ90" s="507">
        <v>594</v>
      </c>
      <c r="AR90" s="508">
        <f t="shared" si="116"/>
        <v>0.59862778730703259</v>
      </c>
      <c r="AS90" s="509">
        <f t="shared" si="117"/>
        <v>0.69869869869869872</v>
      </c>
      <c r="AT90" s="506">
        <v>1462</v>
      </c>
      <c r="AU90" s="507">
        <v>1214</v>
      </c>
      <c r="AV90" s="507">
        <v>1056</v>
      </c>
      <c r="AW90" s="507">
        <v>707</v>
      </c>
      <c r="AX90" s="507">
        <v>596</v>
      </c>
      <c r="AY90" s="508">
        <f t="shared" si="118"/>
        <v>0.5823723228995058</v>
      </c>
      <c r="AZ90" s="509">
        <f t="shared" si="119"/>
        <v>0.6695075757575758</v>
      </c>
      <c r="BA90" s="506">
        <v>1525</v>
      </c>
      <c r="BB90" s="507">
        <v>1200</v>
      </c>
      <c r="BC90" s="507">
        <v>1031</v>
      </c>
      <c r="BD90" s="507">
        <v>810</v>
      </c>
      <c r="BE90" s="507">
        <v>622</v>
      </c>
      <c r="BF90" s="508">
        <f t="shared" si="120"/>
        <v>0.67500000000000004</v>
      </c>
      <c r="BG90" s="509">
        <f t="shared" si="121"/>
        <v>0.78564500484966049</v>
      </c>
      <c r="BH90" s="506">
        <v>1594</v>
      </c>
      <c r="BI90" s="507">
        <v>1281</v>
      </c>
      <c r="BJ90" s="507">
        <v>1075</v>
      </c>
      <c r="BK90" s="507">
        <v>655</v>
      </c>
      <c r="BL90" s="507">
        <v>586</v>
      </c>
      <c r="BM90" s="508">
        <f t="shared" si="122"/>
        <v>0.5113192818110851</v>
      </c>
      <c r="BN90" s="509">
        <f t="shared" si="123"/>
        <v>0.6093023255813953</v>
      </c>
      <c r="BO90" s="506">
        <v>1508</v>
      </c>
      <c r="BP90" s="507">
        <v>1198</v>
      </c>
      <c r="BQ90" s="507">
        <v>1041</v>
      </c>
      <c r="BR90" s="507">
        <v>736</v>
      </c>
      <c r="BS90" s="507">
        <v>550</v>
      </c>
      <c r="BT90" s="508">
        <f t="shared" si="124"/>
        <v>0.61435726210350583</v>
      </c>
      <c r="BU90" s="509">
        <f t="shared" si="125"/>
        <v>0.70701248799231509</v>
      </c>
      <c r="BV90" s="506">
        <v>1612</v>
      </c>
      <c r="BW90" s="507">
        <v>1217</v>
      </c>
      <c r="BX90" s="507">
        <v>1070</v>
      </c>
      <c r="BY90" s="507">
        <v>700</v>
      </c>
      <c r="BZ90" s="507">
        <v>627</v>
      </c>
      <c r="CA90" s="508">
        <f t="shared" si="126"/>
        <v>0.57518488085456043</v>
      </c>
      <c r="CB90" s="509">
        <f t="shared" si="127"/>
        <v>0.65420560747663548</v>
      </c>
      <c r="CC90" s="506">
        <v>1445</v>
      </c>
      <c r="CD90" s="507">
        <v>1151</v>
      </c>
      <c r="CE90" s="507">
        <v>931</v>
      </c>
      <c r="CF90" s="507">
        <v>646</v>
      </c>
      <c r="CG90" s="507">
        <v>603</v>
      </c>
      <c r="CH90" s="508">
        <f t="shared" si="140"/>
        <v>0.56125108601216334</v>
      </c>
      <c r="CI90" s="509">
        <f t="shared" si="141"/>
        <v>0.69387755102040816</v>
      </c>
      <c r="CJ90" s="506">
        <v>1447</v>
      </c>
      <c r="CK90" s="507">
        <v>1183</v>
      </c>
      <c r="CL90" s="507">
        <v>962</v>
      </c>
      <c r="CM90" s="507">
        <v>586</v>
      </c>
      <c r="CN90" s="507">
        <v>536</v>
      </c>
      <c r="CO90" s="508">
        <f t="shared" si="142"/>
        <v>0.49535080304311074</v>
      </c>
      <c r="CP90" s="508">
        <f t="shared" si="143"/>
        <v>0.60914760914760913</v>
      </c>
      <c r="CQ90" s="508">
        <v>0.60693153000845312</v>
      </c>
      <c r="CR90" s="509">
        <v>0.74636174636174635</v>
      </c>
      <c r="CS90" s="506">
        <v>1447</v>
      </c>
      <c r="CT90" s="507">
        <v>1161</v>
      </c>
      <c r="CU90" s="507">
        <v>976</v>
      </c>
      <c r="CV90" s="507">
        <v>644</v>
      </c>
      <c r="CW90" s="507">
        <v>578</v>
      </c>
      <c r="CX90" s="508">
        <f t="shared" si="144"/>
        <v>0.55469422911283373</v>
      </c>
      <c r="CY90" s="508">
        <f t="shared" si="145"/>
        <v>0.6598360655737705</v>
      </c>
      <c r="CZ90" s="508">
        <v>0.64427217915590007</v>
      </c>
      <c r="DA90" s="509">
        <v>0.76639344262295084</v>
      </c>
      <c r="DB90" s="506">
        <v>1737</v>
      </c>
      <c r="DC90" s="507">
        <v>1335</v>
      </c>
      <c r="DD90" s="507">
        <v>1153</v>
      </c>
      <c r="DE90" s="507">
        <v>707</v>
      </c>
      <c r="DF90" s="507">
        <v>644</v>
      </c>
      <c r="DG90" s="508">
        <f t="shared" si="146"/>
        <v>0.52958801498127339</v>
      </c>
      <c r="DH90" s="508">
        <f t="shared" si="147"/>
        <v>0.61318300086730271</v>
      </c>
      <c r="DI90" s="508">
        <v>0.6404494382022472</v>
      </c>
      <c r="DJ90" s="509">
        <v>0.74154379878577625</v>
      </c>
      <c r="DK90" s="506">
        <v>1913</v>
      </c>
      <c r="DL90" s="507">
        <v>1436</v>
      </c>
      <c r="DM90" s="507">
        <v>1282</v>
      </c>
      <c r="DN90" s="507">
        <v>830</v>
      </c>
      <c r="DO90" s="507">
        <v>751</v>
      </c>
      <c r="DP90" s="508">
        <f t="shared" si="148"/>
        <v>0.57799442896935938</v>
      </c>
      <c r="DQ90" s="508">
        <f t="shared" si="149"/>
        <v>0.64742589703588138</v>
      </c>
      <c r="DR90" s="508">
        <v>0.67757660167130918</v>
      </c>
      <c r="DS90" s="509">
        <v>0.7589703588143526</v>
      </c>
      <c r="DT90" s="506">
        <v>1897</v>
      </c>
      <c r="DU90" s="507">
        <v>1507</v>
      </c>
      <c r="DV90" s="507">
        <v>1285</v>
      </c>
      <c r="DW90" s="507">
        <v>804</v>
      </c>
      <c r="DX90" s="507">
        <v>709</v>
      </c>
      <c r="DY90" s="508">
        <f t="shared" si="150"/>
        <v>0.53351028533510281</v>
      </c>
      <c r="DZ90" s="508">
        <f t="shared" si="151"/>
        <v>0.62568093385214008</v>
      </c>
      <c r="EA90" s="508">
        <v>0.61048440610484411</v>
      </c>
      <c r="EB90" s="509">
        <v>0.71595330739299612</v>
      </c>
    </row>
    <row r="91" spans="1:132" s="2" customFormat="1" x14ac:dyDescent="0.25">
      <c r="A91" s="503" t="s">
        <v>282</v>
      </c>
      <c r="B91" s="549" t="s">
        <v>290</v>
      </c>
      <c r="C91" s="505" t="s">
        <v>291</v>
      </c>
      <c r="D91" s="506">
        <v>434</v>
      </c>
      <c r="E91" s="507">
        <v>434</v>
      </c>
      <c r="F91" s="507">
        <v>434</v>
      </c>
      <c r="G91" s="507">
        <v>434</v>
      </c>
      <c r="H91" s="507">
        <v>365</v>
      </c>
      <c r="I91" s="508">
        <f t="shared" si="108"/>
        <v>1</v>
      </c>
      <c r="J91" s="509">
        <f t="shared" si="109"/>
        <v>1</v>
      </c>
      <c r="K91" s="506">
        <v>1178</v>
      </c>
      <c r="L91" s="507">
        <v>1171</v>
      </c>
      <c r="M91" s="507">
        <v>1171</v>
      </c>
      <c r="N91" s="507">
        <v>858</v>
      </c>
      <c r="O91" s="507">
        <v>616</v>
      </c>
      <c r="P91" s="508">
        <f t="shared" si="110"/>
        <v>0.73270708795900941</v>
      </c>
      <c r="Q91" s="509">
        <f t="shared" si="111"/>
        <v>0.73270708795900941</v>
      </c>
      <c r="R91" s="506">
        <v>1389</v>
      </c>
      <c r="S91" s="507">
        <v>1384</v>
      </c>
      <c r="T91" s="507">
        <v>1384</v>
      </c>
      <c r="U91" s="507">
        <v>939</v>
      </c>
      <c r="V91" s="507">
        <v>711</v>
      </c>
      <c r="W91" s="508">
        <f t="shared" si="106"/>
        <v>0.67846820809248554</v>
      </c>
      <c r="X91" s="509">
        <f t="shared" si="107"/>
        <v>0.67846820809248554</v>
      </c>
      <c r="Y91" s="506">
        <v>1412</v>
      </c>
      <c r="Z91" s="507">
        <v>1409</v>
      </c>
      <c r="AA91" s="507">
        <v>1409</v>
      </c>
      <c r="AB91" s="507">
        <v>801</v>
      </c>
      <c r="AC91" s="507">
        <v>705</v>
      </c>
      <c r="AD91" s="508">
        <f t="shared" si="112"/>
        <v>0.56848828956706887</v>
      </c>
      <c r="AE91" s="509">
        <f t="shared" si="113"/>
        <v>0.56848828956706887</v>
      </c>
      <c r="AF91" s="506">
        <v>1634</v>
      </c>
      <c r="AG91" s="507">
        <v>1628</v>
      </c>
      <c r="AH91" s="507">
        <v>1628</v>
      </c>
      <c r="AI91" s="507">
        <v>802</v>
      </c>
      <c r="AJ91" s="507">
        <v>683</v>
      </c>
      <c r="AK91" s="508">
        <f t="shared" si="114"/>
        <v>0.49262899262899262</v>
      </c>
      <c r="AL91" s="509">
        <f t="shared" si="115"/>
        <v>0.49262899262899262</v>
      </c>
      <c r="AM91" s="506">
        <v>1516</v>
      </c>
      <c r="AN91" s="507">
        <v>1513</v>
      </c>
      <c r="AO91" s="507">
        <v>1513</v>
      </c>
      <c r="AP91" s="507">
        <v>773</v>
      </c>
      <c r="AQ91" s="507">
        <v>670</v>
      </c>
      <c r="AR91" s="508">
        <f t="shared" si="116"/>
        <v>0.51090548578982153</v>
      </c>
      <c r="AS91" s="509">
        <f t="shared" si="117"/>
        <v>0.51090548578982153</v>
      </c>
      <c r="AT91" s="506">
        <v>1450</v>
      </c>
      <c r="AU91" s="507">
        <v>1443</v>
      </c>
      <c r="AV91" s="507">
        <v>1443</v>
      </c>
      <c r="AW91" s="507">
        <v>901</v>
      </c>
      <c r="AX91" s="507">
        <v>766</v>
      </c>
      <c r="AY91" s="508">
        <f t="shared" si="118"/>
        <v>0.62439362439362445</v>
      </c>
      <c r="AZ91" s="509">
        <f t="shared" si="119"/>
        <v>0.62439362439362445</v>
      </c>
      <c r="BA91" s="506">
        <v>1481</v>
      </c>
      <c r="BB91" s="507">
        <v>1469</v>
      </c>
      <c r="BC91" s="507">
        <v>1469</v>
      </c>
      <c r="BD91" s="507">
        <v>792</v>
      </c>
      <c r="BE91" s="507">
        <v>684</v>
      </c>
      <c r="BF91" s="508">
        <f t="shared" si="120"/>
        <v>0.53914227365554801</v>
      </c>
      <c r="BG91" s="509">
        <f t="shared" si="121"/>
        <v>0.53914227365554801</v>
      </c>
      <c r="BH91" s="506">
        <v>1489</v>
      </c>
      <c r="BI91" s="507">
        <v>1487</v>
      </c>
      <c r="BJ91" s="507">
        <v>1487</v>
      </c>
      <c r="BK91" s="507">
        <v>778</v>
      </c>
      <c r="BL91" s="507">
        <v>673</v>
      </c>
      <c r="BM91" s="508">
        <f t="shared" si="122"/>
        <v>0.52320107599193011</v>
      </c>
      <c r="BN91" s="509">
        <f t="shared" si="123"/>
        <v>0.52320107599193011</v>
      </c>
      <c r="BO91" s="506">
        <v>1449</v>
      </c>
      <c r="BP91" s="507">
        <v>1447</v>
      </c>
      <c r="BQ91" s="507">
        <v>1447</v>
      </c>
      <c r="BR91" s="507">
        <v>767</v>
      </c>
      <c r="BS91" s="507">
        <v>689</v>
      </c>
      <c r="BT91" s="508">
        <f t="shared" si="124"/>
        <v>0.53006219765031104</v>
      </c>
      <c r="BU91" s="509">
        <f t="shared" si="125"/>
        <v>0.53006219765031104</v>
      </c>
      <c r="BV91" s="506">
        <v>1396</v>
      </c>
      <c r="BW91" s="507">
        <v>1392</v>
      </c>
      <c r="BX91" s="507">
        <v>1392</v>
      </c>
      <c r="BY91" s="507">
        <v>750</v>
      </c>
      <c r="BZ91" s="507">
        <v>645</v>
      </c>
      <c r="CA91" s="508">
        <f t="shared" si="126"/>
        <v>0.53879310344827591</v>
      </c>
      <c r="CB91" s="509">
        <f t="shared" si="127"/>
        <v>0.53879310344827591</v>
      </c>
      <c r="CC91" s="506">
        <v>1464</v>
      </c>
      <c r="CD91" s="507">
        <v>1451</v>
      </c>
      <c r="CE91" s="507">
        <v>1434</v>
      </c>
      <c r="CF91" s="507">
        <v>651</v>
      </c>
      <c r="CG91" s="507">
        <v>603</v>
      </c>
      <c r="CH91" s="508">
        <f t="shared" si="140"/>
        <v>0.44865609924190214</v>
      </c>
      <c r="CI91" s="509">
        <f t="shared" si="141"/>
        <v>0.45397489539748953</v>
      </c>
      <c r="CJ91" s="506">
        <v>1871</v>
      </c>
      <c r="CK91" s="507">
        <v>1852</v>
      </c>
      <c r="CL91" s="507">
        <v>1843</v>
      </c>
      <c r="CM91" s="507">
        <v>742</v>
      </c>
      <c r="CN91" s="507">
        <v>682</v>
      </c>
      <c r="CO91" s="508">
        <f t="shared" si="142"/>
        <v>0.40064794816414689</v>
      </c>
      <c r="CP91" s="508">
        <f t="shared" si="143"/>
        <v>0.40260444926749867</v>
      </c>
      <c r="CQ91" s="508">
        <v>0.46760259179265656</v>
      </c>
      <c r="CR91" s="509">
        <v>0.46988605534454692</v>
      </c>
      <c r="CS91" s="506">
        <v>1800</v>
      </c>
      <c r="CT91" s="507">
        <v>1785</v>
      </c>
      <c r="CU91" s="507">
        <v>1432</v>
      </c>
      <c r="CV91" s="507">
        <v>815</v>
      </c>
      <c r="CW91" s="507">
        <v>738</v>
      </c>
      <c r="CX91" s="508">
        <f t="shared" si="144"/>
        <v>0.45658263305322128</v>
      </c>
      <c r="CY91" s="508">
        <f t="shared" si="145"/>
        <v>0.56913407821229045</v>
      </c>
      <c r="CZ91" s="508">
        <v>0.53725490196078429</v>
      </c>
      <c r="DA91" s="509">
        <v>0.66969273743016755</v>
      </c>
      <c r="DB91" s="506">
        <v>1694</v>
      </c>
      <c r="DC91" s="507">
        <v>1690</v>
      </c>
      <c r="DD91" s="507">
        <v>1685</v>
      </c>
      <c r="DE91" s="507">
        <v>605</v>
      </c>
      <c r="DF91" s="507">
        <v>530</v>
      </c>
      <c r="DG91" s="508">
        <f t="shared" si="146"/>
        <v>0.35798816568047337</v>
      </c>
      <c r="DH91" s="508">
        <f t="shared" si="147"/>
        <v>0.35905044510385759</v>
      </c>
      <c r="DI91" s="508">
        <v>0.64201183431952658</v>
      </c>
      <c r="DJ91" s="509">
        <v>0.64391691394658757</v>
      </c>
      <c r="DK91" s="506">
        <v>1632</v>
      </c>
      <c r="DL91" s="507">
        <v>1626</v>
      </c>
      <c r="DM91" s="507">
        <v>1309</v>
      </c>
      <c r="DN91" s="507">
        <v>549</v>
      </c>
      <c r="DO91" s="507">
        <v>500</v>
      </c>
      <c r="DP91" s="508">
        <f t="shared" si="148"/>
        <v>0.33763837638376382</v>
      </c>
      <c r="DQ91" s="508">
        <f t="shared" si="149"/>
        <v>0.41940412528647825</v>
      </c>
      <c r="DR91" s="508">
        <v>0.43911439114391143</v>
      </c>
      <c r="DS91" s="509">
        <v>0.54545454545454541</v>
      </c>
      <c r="DT91" s="506">
        <v>1507</v>
      </c>
      <c r="DU91" s="507">
        <v>1502</v>
      </c>
      <c r="DV91" s="507">
        <v>1136</v>
      </c>
      <c r="DW91" s="507">
        <v>564</v>
      </c>
      <c r="DX91" s="507">
        <v>513</v>
      </c>
      <c r="DY91" s="508">
        <f t="shared" si="150"/>
        <v>0.37549933422103859</v>
      </c>
      <c r="DZ91" s="508">
        <f t="shared" si="151"/>
        <v>0.49647887323943662</v>
      </c>
      <c r="EA91" s="508">
        <v>0.37616511318242346</v>
      </c>
      <c r="EB91" s="509">
        <v>0.49735915492957744</v>
      </c>
    </row>
    <row r="92" spans="1:132" s="2" customFormat="1" x14ac:dyDescent="0.25">
      <c r="A92" s="503" t="s">
        <v>282</v>
      </c>
      <c r="B92" s="504" t="s">
        <v>292</v>
      </c>
      <c r="C92" s="505" t="s">
        <v>293</v>
      </c>
      <c r="D92" s="506">
        <v>860</v>
      </c>
      <c r="E92" s="507">
        <v>852</v>
      </c>
      <c r="F92" s="507">
        <v>650</v>
      </c>
      <c r="G92" s="507">
        <v>617</v>
      </c>
      <c r="H92" s="507">
        <v>475</v>
      </c>
      <c r="I92" s="508">
        <f t="shared" si="108"/>
        <v>0.7241784037558685</v>
      </c>
      <c r="J92" s="509">
        <f t="shared" si="109"/>
        <v>0.94923076923076921</v>
      </c>
      <c r="K92" s="506">
        <v>745</v>
      </c>
      <c r="L92" s="507">
        <v>744</v>
      </c>
      <c r="M92" s="507">
        <v>586</v>
      </c>
      <c r="N92" s="507">
        <v>510</v>
      </c>
      <c r="O92" s="507">
        <v>375</v>
      </c>
      <c r="P92" s="508">
        <f t="shared" si="110"/>
        <v>0.68548387096774188</v>
      </c>
      <c r="Q92" s="509">
        <f t="shared" si="111"/>
        <v>0.87030716723549484</v>
      </c>
      <c r="R92" s="506">
        <v>810</v>
      </c>
      <c r="S92" s="507">
        <v>803</v>
      </c>
      <c r="T92" s="507">
        <v>617</v>
      </c>
      <c r="U92" s="507">
        <v>601</v>
      </c>
      <c r="V92" s="507">
        <v>409</v>
      </c>
      <c r="W92" s="508">
        <f t="shared" si="106"/>
        <v>0.74844333748443337</v>
      </c>
      <c r="X92" s="509">
        <f t="shared" si="107"/>
        <v>0.97406807131280393</v>
      </c>
      <c r="Y92" s="506">
        <v>1037</v>
      </c>
      <c r="Z92" s="507">
        <v>1031</v>
      </c>
      <c r="AA92" s="507">
        <v>981</v>
      </c>
      <c r="AB92" s="507">
        <v>789</v>
      </c>
      <c r="AC92" s="507">
        <v>532</v>
      </c>
      <c r="AD92" s="508">
        <f t="shared" si="112"/>
        <v>0.76527643064985451</v>
      </c>
      <c r="AE92" s="509">
        <f t="shared" si="113"/>
        <v>0.80428134556574926</v>
      </c>
      <c r="AF92" s="506">
        <v>973</v>
      </c>
      <c r="AG92" s="507">
        <v>959</v>
      </c>
      <c r="AH92" s="507">
        <v>927</v>
      </c>
      <c r="AI92" s="507">
        <v>750</v>
      </c>
      <c r="AJ92" s="507">
        <v>500</v>
      </c>
      <c r="AK92" s="508">
        <f t="shared" si="114"/>
        <v>0.78206465067778941</v>
      </c>
      <c r="AL92" s="509">
        <f t="shared" si="115"/>
        <v>0.80906148867313921</v>
      </c>
      <c r="AM92" s="506">
        <v>744</v>
      </c>
      <c r="AN92" s="507">
        <v>742</v>
      </c>
      <c r="AO92" s="507">
        <v>721</v>
      </c>
      <c r="AP92" s="507">
        <v>574</v>
      </c>
      <c r="AQ92" s="507">
        <v>374</v>
      </c>
      <c r="AR92" s="508">
        <f t="shared" si="116"/>
        <v>0.77358490566037741</v>
      </c>
      <c r="AS92" s="509">
        <f t="shared" si="117"/>
        <v>0.79611650485436891</v>
      </c>
      <c r="AT92" s="506">
        <v>702</v>
      </c>
      <c r="AU92" s="507">
        <v>696</v>
      </c>
      <c r="AV92" s="507">
        <v>681</v>
      </c>
      <c r="AW92" s="507">
        <v>564</v>
      </c>
      <c r="AX92" s="507">
        <v>372</v>
      </c>
      <c r="AY92" s="508">
        <f t="shared" si="118"/>
        <v>0.81034482758620685</v>
      </c>
      <c r="AZ92" s="509">
        <f t="shared" si="119"/>
        <v>0.82819383259911894</v>
      </c>
      <c r="BA92" s="506">
        <v>552</v>
      </c>
      <c r="BB92" s="507">
        <v>517</v>
      </c>
      <c r="BC92" s="507">
        <v>488</v>
      </c>
      <c r="BD92" s="507">
        <v>406</v>
      </c>
      <c r="BE92" s="507">
        <v>277</v>
      </c>
      <c r="BF92" s="508">
        <f t="shared" si="120"/>
        <v>0.7852998065764023</v>
      </c>
      <c r="BG92" s="509">
        <f t="shared" si="121"/>
        <v>0.83196721311475408</v>
      </c>
      <c r="BH92" s="506">
        <v>624</v>
      </c>
      <c r="BI92" s="507">
        <v>580</v>
      </c>
      <c r="BJ92" s="507">
        <v>568</v>
      </c>
      <c r="BK92" s="507">
        <v>463</v>
      </c>
      <c r="BL92" s="507">
        <v>337</v>
      </c>
      <c r="BM92" s="508">
        <f t="shared" si="122"/>
        <v>0.7982758620689655</v>
      </c>
      <c r="BN92" s="509">
        <f t="shared" si="123"/>
        <v>0.8151408450704225</v>
      </c>
      <c r="BO92" s="506">
        <v>523</v>
      </c>
      <c r="BP92" s="507">
        <v>492</v>
      </c>
      <c r="BQ92" s="507">
        <v>482</v>
      </c>
      <c r="BR92" s="507">
        <v>404</v>
      </c>
      <c r="BS92" s="507">
        <v>295</v>
      </c>
      <c r="BT92" s="508">
        <f t="shared" si="124"/>
        <v>0.82113821138211385</v>
      </c>
      <c r="BU92" s="509">
        <f t="shared" si="125"/>
        <v>0.83817427385892118</v>
      </c>
      <c r="BV92" s="506">
        <v>603</v>
      </c>
      <c r="BW92" s="507">
        <v>542</v>
      </c>
      <c r="BX92" s="507">
        <v>529</v>
      </c>
      <c r="BY92" s="507">
        <v>421</v>
      </c>
      <c r="BZ92" s="507">
        <v>306</v>
      </c>
      <c r="CA92" s="508">
        <f t="shared" si="126"/>
        <v>0.7767527675276753</v>
      </c>
      <c r="CB92" s="509">
        <f t="shared" si="127"/>
        <v>0.79584120982986772</v>
      </c>
      <c r="CC92" s="506">
        <v>484</v>
      </c>
      <c r="CD92" s="507">
        <v>451</v>
      </c>
      <c r="CE92" s="507">
        <v>438</v>
      </c>
      <c r="CF92" s="507">
        <v>336</v>
      </c>
      <c r="CG92" s="507">
        <v>273</v>
      </c>
      <c r="CH92" s="508">
        <f t="shared" si="140"/>
        <v>0.74501108647450109</v>
      </c>
      <c r="CI92" s="509">
        <f t="shared" si="141"/>
        <v>0.76712328767123283</v>
      </c>
      <c r="CJ92" s="506">
        <v>430</v>
      </c>
      <c r="CK92" s="507">
        <v>407</v>
      </c>
      <c r="CL92" s="507">
        <v>400</v>
      </c>
      <c r="CM92" s="507">
        <v>305</v>
      </c>
      <c r="CN92" s="507">
        <v>238</v>
      </c>
      <c r="CO92" s="508">
        <f t="shared" si="142"/>
        <v>0.74938574938574942</v>
      </c>
      <c r="CP92" s="508">
        <f t="shared" si="143"/>
        <v>0.76249999999999996</v>
      </c>
      <c r="CQ92" s="508">
        <v>0.94594594594594594</v>
      </c>
      <c r="CR92" s="509">
        <v>0.96250000000000002</v>
      </c>
      <c r="CS92" s="506">
        <v>499</v>
      </c>
      <c r="CT92" s="507">
        <v>453</v>
      </c>
      <c r="CU92" s="507">
        <v>436</v>
      </c>
      <c r="CV92" s="507">
        <v>342</v>
      </c>
      <c r="CW92" s="507">
        <v>257</v>
      </c>
      <c r="CX92" s="508">
        <f t="shared" si="144"/>
        <v>0.75496688741721851</v>
      </c>
      <c r="CY92" s="508">
        <f t="shared" si="145"/>
        <v>0.7844036697247706</v>
      </c>
      <c r="CZ92" s="508">
        <v>0.92715231788079466</v>
      </c>
      <c r="DA92" s="509">
        <v>0.96330275229357798</v>
      </c>
      <c r="DB92" s="506">
        <v>468</v>
      </c>
      <c r="DC92" s="507">
        <v>437</v>
      </c>
      <c r="DD92" s="507">
        <v>420</v>
      </c>
      <c r="DE92" s="507">
        <v>335</v>
      </c>
      <c r="DF92" s="507">
        <v>244</v>
      </c>
      <c r="DG92" s="508">
        <f t="shared" si="146"/>
        <v>0.76659038901601828</v>
      </c>
      <c r="DH92" s="508">
        <f t="shared" si="147"/>
        <v>0.79761904761904767</v>
      </c>
      <c r="DI92" s="508">
        <v>0.94050343249427915</v>
      </c>
      <c r="DJ92" s="509">
        <v>0.97857142857142854</v>
      </c>
      <c r="DK92" s="506">
        <v>550</v>
      </c>
      <c r="DL92" s="507">
        <v>513</v>
      </c>
      <c r="DM92" s="507">
        <v>491</v>
      </c>
      <c r="DN92" s="507">
        <v>405</v>
      </c>
      <c r="DO92" s="507">
        <v>306</v>
      </c>
      <c r="DP92" s="508">
        <f t="shared" si="148"/>
        <v>0.78947368421052633</v>
      </c>
      <c r="DQ92" s="508">
        <f t="shared" si="149"/>
        <v>0.82484725050916496</v>
      </c>
      <c r="DR92" s="508">
        <v>0.94541910331384016</v>
      </c>
      <c r="DS92" s="509">
        <v>0.98778004073319758</v>
      </c>
      <c r="DT92" s="506">
        <v>760</v>
      </c>
      <c r="DU92" s="507">
        <v>700</v>
      </c>
      <c r="DV92" s="507">
        <v>679</v>
      </c>
      <c r="DW92" s="507">
        <v>576</v>
      </c>
      <c r="DX92" s="507">
        <v>427</v>
      </c>
      <c r="DY92" s="508">
        <f t="shared" si="150"/>
        <v>0.82285714285714284</v>
      </c>
      <c r="DZ92" s="508">
        <f t="shared" si="151"/>
        <v>0.8483063328424153</v>
      </c>
      <c r="EA92" s="508">
        <v>0.9285714285714286</v>
      </c>
      <c r="EB92" s="509">
        <v>0.95729013254786455</v>
      </c>
    </row>
    <row r="93" spans="1:132" s="2" customFormat="1" x14ac:dyDescent="0.25">
      <c r="A93" s="503" t="s">
        <v>282</v>
      </c>
      <c r="B93" s="504" t="s">
        <v>294</v>
      </c>
      <c r="C93" s="505" t="s">
        <v>295</v>
      </c>
      <c r="D93" s="506">
        <v>733</v>
      </c>
      <c r="E93" s="507">
        <v>733</v>
      </c>
      <c r="F93" s="507">
        <v>733</v>
      </c>
      <c r="G93" s="507">
        <v>551</v>
      </c>
      <c r="H93" s="507">
        <v>451</v>
      </c>
      <c r="I93" s="508">
        <f t="shared" si="108"/>
        <v>0.75170532060027284</v>
      </c>
      <c r="J93" s="509">
        <f t="shared" si="109"/>
        <v>0.75170532060027284</v>
      </c>
      <c r="K93" s="506">
        <v>719</v>
      </c>
      <c r="L93" s="507">
        <v>718</v>
      </c>
      <c r="M93" s="507">
        <v>718</v>
      </c>
      <c r="N93" s="507">
        <v>590</v>
      </c>
      <c r="O93" s="507">
        <v>468</v>
      </c>
      <c r="P93" s="508">
        <f t="shared" si="110"/>
        <v>0.82172701949860727</v>
      </c>
      <c r="Q93" s="509">
        <f t="shared" si="111"/>
        <v>0.82172701949860727</v>
      </c>
      <c r="R93" s="506">
        <v>796</v>
      </c>
      <c r="S93" s="507">
        <v>794</v>
      </c>
      <c r="T93" s="507">
        <v>794</v>
      </c>
      <c r="U93" s="507">
        <v>622</v>
      </c>
      <c r="V93" s="507">
        <v>440</v>
      </c>
      <c r="W93" s="508">
        <f t="shared" si="106"/>
        <v>0.78337531486146095</v>
      </c>
      <c r="X93" s="509">
        <f t="shared" si="107"/>
        <v>0.78337531486146095</v>
      </c>
      <c r="Y93" s="506">
        <v>814</v>
      </c>
      <c r="Z93" s="507">
        <v>814</v>
      </c>
      <c r="AA93" s="507">
        <v>814</v>
      </c>
      <c r="AB93" s="507">
        <v>670</v>
      </c>
      <c r="AC93" s="507">
        <v>499</v>
      </c>
      <c r="AD93" s="508">
        <f t="shared" si="112"/>
        <v>0.82309582309582308</v>
      </c>
      <c r="AE93" s="509">
        <f t="shared" si="113"/>
        <v>0.82309582309582308</v>
      </c>
      <c r="AF93" s="506">
        <v>1068</v>
      </c>
      <c r="AG93" s="507">
        <v>1066</v>
      </c>
      <c r="AH93" s="507">
        <v>1066</v>
      </c>
      <c r="AI93" s="507">
        <v>898</v>
      </c>
      <c r="AJ93" s="507">
        <v>733</v>
      </c>
      <c r="AK93" s="508">
        <f t="shared" si="114"/>
        <v>0.8424015009380863</v>
      </c>
      <c r="AL93" s="509">
        <f t="shared" si="115"/>
        <v>0.8424015009380863</v>
      </c>
      <c r="AM93" s="506">
        <v>816</v>
      </c>
      <c r="AN93" s="507">
        <v>814</v>
      </c>
      <c r="AO93" s="507">
        <v>814</v>
      </c>
      <c r="AP93" s="507">
        <v>651</v>
      </c>
      <c r="AQ93" s="507">
        <v>504</v>
      </c>
      <c r="AR93" s="508">
        <f t="shared" si="116"/>
        <v>0.79975429975429979</v>
      </c>
      <c r="AS93" s="509">
        <f t="shared" si="117"/>
        <v>0.79975429975429979</v>
      </c>
      <c r="AT93" s="506">
        <v>509</v>
      </c>
      <c r="AU93" s="507">
        <v>508</v>
      </c>
      <c r="AV93" s="507">
        <v>477</v>
      </c>
      <c r="AW93" s="507">
        <v>387</v>
      </c>
      <c r="AX93" s="507">
        <v>313</v>
      </c>
      <c r="AY93" s="508">
        <f t="shared" si="118"/>
        <v>0.76181102362204722</v>
      </c>
      <c r="AZ93" s="509">
        <f t="shared" si="119"/>
        <v>0.81132075471698117</v>
      </c>
      <c r="BA93" s="506">
        <v>486</v>
      </c>
      <c r="BB93" s="507">
        <v>482</v>
      </c>
      <c r="BC93" s="507">
        <v>475</v>
      </c>
      <c r="BD93" s="507">
        <v>389</v>
      </c>
      <c r="BE93" s="507">
        <v>309</v>
      </c>
      <c r="BF93" s="508">
        <f t="shared" si="120"/>
        <v>0.80705394190871371</v>
      </c>
      <c r="BG93" s="509">
        <f t="shared" si="121"/>
        <v>0.81894736842105265</v>
      </c>
      <c r="BH93" s="506">
        <v>453</v>
      </c>
      <c r="BI93" s="507">
        <v>452</v>
      </c>
      <c r="BJ93" s="507">
        <v>439</v>
      </c>
      <c r="BK93" s="507">
        <v>341</v>
      </c>
      <c r="BL93" s="507">
        <v>272</v>
      </c>
      <c r="BM93" s="508">
        <f t="shared" si="122"/>
        <v>0.75442477876106195</v>
      </c>
      <c r="BN93" s="509">
        <f t="shared" si="123"/>
        <v>0.77676537585421412</v>
      </c>
      <c r="BO93" s="506">
        <v>397</v>
      </c>
      <c r="BP93" s="507">
        <v>394</v>
      </c>
      <c r="BQ93" s="507">
        <v>382</v>
      </c>
      <c r="BR93" s="507">
        <v>303</v>
      </c>
      <c r="BS93" s="507">
        <v>229</v>
      </c>
      <c r="BT93" s="508">
        <f t="shared" si="124"/>
        <v>0.76903553299492389</v>
      </c>
      <c r="BU93" s="509">
        <f t="shared" si="125"/>
        <v>0.79319371727748689</v>
      </c>
      <c r="BV93" s="506">
        <v>347</v>
      </c>
      <c r="BW93" s="507">
        <v>347</v>
      </c>
      <c r="BX93" s="507">
        <v>342</v>
      </c>
      <c r="BY93" s="507">
        <v>274</v>
      </c>
      <c r="BZ93" s="507">
        <v>236</v>
      </c>
      <c r="CA93" s="508">
        <f t="shared" si="126"/>
        <v>0.78962536023054752</v>
      </c>
      <c r="CB93" s="509">
        <f t="shared" si="127"/>
        <v>0.80116959064327486</v>
      </c>
      <c r="CC93" s="506">
        <v>416</v>
      </c>
      <c r="CD93" s="507">
        <v>406</v>
      </c>
      <c r="CE93" s="507">
        <v>406</v>
      </c>
      <c r="CF93" s="507">
        <v>312</v>
      </c>
      <c r="CG93" s="507">
        <v>261</v>
      </c>
      <c r="CH93" s="508">
        <f t="shared" si="140"/>
        <v>0.76847290640394084</v>
      </c>
      <c r="CI93" s="509">
        <f t="shared" si="141"/>
        <v>0.76847290640394084</v>
      </c>
      <c r="CJ93" s="506">
        <v>446</v>
      </c>
      <c r="CK93" s="507">
        <v>444</v>
      </c>
      <c r="CL93" s="507">
        <v>444</v>
      </c>
      <c r="CM93" s="507">
        <v>326</v>
      </c>
      <c r="CN93" s="507">
        <v>282</v>
      </c>
      <c r="CO93" s="508">
        <f t="shared" si="142"/>
        <v>0.73423423423423428</v>
      </c>
      <c r="CP93" s="508">
        <f t="shared" si="143"/>
        <v>0.73423423423423428</v>
      </c>
      <c r="CQ93" s="508">
        <v>0.73423423423423428</v>
      </c>
      <c r="CR93" s="509">
        <v>0.73423423423423428</v>
      </c>
      <c r="CS93" s="506">
        <v>627</v>
      </c>
      <c r="CT93" s="507">
        <v>614</v>
      </c>
      <c r="CU93" s="507">
        <v>614</v>
      </c>
      <c r="CV93" s="507">
        <v>436</v>
      </c>
      <c r="CW93" s="507">
        <v>381</v>
      </c>
      <c r="CX93" s="508">
        <f t="shared" si="144"/>
        <v>0.71009771986970682</v>
      </c>
      <c r="CY93" s="508">
        <f t="shared" si="145"/>
        <v>0.71009771986970682</v>
      </c>
      <c r="CZ93" s="508">
        <v>0.71009771986970682</v>
      </c>
      <c r="DA93" s="509">
        <v>0.71009771986970682</v>
      </c>
      <c r="DB93" s="506">
        <v>452</v>
      </c>
      <c r="DC93" s="507">
        <v>444</v>
      </c>
      <c r="DD93" s="507">
        <v>391</v>
      </c>
      <c r="DE93" s="507">
        <v>322</v>
      </c>
      <c r="DF93" s="507">
        <v>243</v>
      </c>
      <c r="DG93" s="508">
        <f t="shared" si="146"/>
        <v>0.72522522522522526</v>
      </c>
      <c r="DH93" s="508">
        <f t="shared" si="147"/>
        <v>0.82352941176470584</v>
      </c>
      <c r="DI93" s="508">
        <v>0.8783783783783784</v>
      </c>
      <c r="DJ93" s="509">
        <v>0.99744245524296671</v>
      </c>
      <c r="DK93" s="506">
        <v>514</v>
      </c>
      <c r="DL93" s="507">
        <v>498</v>
      </c>
      <c r="DM93" s="507">
        <v>457</v>
      </c>
      <c r="DN93" s="507">
        <v>359</v>
      </c>
      <c r="DO93" s="507">
        <v>295</v>
      </c>
      <c r="DP93" s="508">
        <f t="shared" si="148"/>
        <v>0.72088353413654616</v>
      </c>
      <c r="DQ93" s="508">
        <f t="shared" si="149"/>
        <v>0.78555798687089717</v>
      </c>
      <c r="DR93" s="508">
        <v>0.91767068273092367</v>
      </c>
      <c r="DS93" s="509">
        <v>1</v>
      </c>
      <c r="DT93" s="506">
        <v>545</v>
      </c>
      <c r="DU93" s="507">
        <v>532</v>
      </c>
      <c r="DV93" s="507">
        <v>502</v>
      </c>
      <c r="DW93" s="507">
        <v>428</v>
      </c>
      <c r="DX93" s="507">
        <v>353</v>
      </c>
      <c r="DY93" s="508">
        <f t="shared" si="150"/>
        <v>0.80451127819548873</v>
      </c>
      <c r="DZ93" s="508">
        <f t="shared" si="151"/>
        <v>0.85258964143426297</v>
      </c>
      <c r="EA93" s="508">
        <v>0.92669172932330823</v>
      </c>
      <c r="EB93" s="509">
        <v>0.98207171314741037</v>
      </c>
    </row>
    <row r="94" spans="1:132" s="2" customFormat="1" x14ac:dyDescent="0.25">
      <c r="A94" s="503" t="s">
        <v>282</v>
      </c>
      <c r="B94" s="504" t="s">
        <v>296</v>
      </c>
      <c r="C94" s="505" t="s">
        <v>297</v>
      </c>
      <c r="D94" s="506">
        <v>813</v>
      </c>
      <c r="E94" s="507">
        <v>757</v>
      </c>
      <c r="F94" s="507">
        <v>704</v>
      </c>
      <c r="G94" s="507">
        <v>375</v>
      </c>
      <c r="H94" s="507">
        <v>305</v>
      </c>
      <c r="I94" s="508">
        <f t="shared" si="108"/>
        <v>0.49537648612945839</v>
      </c>
      <c r="J94" s="509">
        <f t="shared" si="109"/>
        <v>0.53267045454545459</v>
      </c>
      <c r="K94" s="506">
        <v>920</v>
      </c>
      <c r="L94" s="507">
        <v>834</v>
      </c>
      <c r="M94" s="507">
        <v>776</v>
      </c>
      <c r="N94" s="507">
        <v>382</v>
      </c>
      <c r="O94" s="507">
        <v>300</v>
      </c>
      <c r="P94" s="508">
        <f t="shared" si="110"/>
        <v>0.45803357314148679</v>
      </c>
      <c r="Q94" s="509">
        <f t="shared" si="111"/>
        <v>0.49226804123711343</v>
      </c>
      <c r="R94" s="506">
        <v>830</v>
      </c>
      <c r="S94" s="507">
        <v>757</v>
      </c>
      <c r="T94" s="507">
        <v>704</v>
      </c>
      <c r="U94" s="507">
        <v>372</v>
      </c>
      <c r="V94" s="507">
        <v>301</v>
      </c>
      <c r="W94" s="508">
        <f t="shared" si="106"/>
        <v>0.4914134742404227</v>
      </c>
      <c r="X94" s="509">
        <f t="shared" si="107"/>
        <v>0.52840909090909094</v>
      </c>
      <c r="Y94" s="506">
        <v>810</v>
      </c>
      <c r="Z94" s="507">
        <v>764</v>
      </c>
      <c r="AA94" s="507">
        <v>706</v>
      </c>
      <c r="AB94" s="507">
        <v>341</v>
      </c>
      <c r="AC94" s="507">
        <v>317</v>
      </c>
      <c r="AD94" s="508">
        <f t="shared" si="112"/>
        <v>0.44633507853403143</v>
      </c>
      <c r="AE94" s="509">
        <f t="shared" si="113"/>
        <v>0.48300283286118978</v>
      </c>
      <c r="AF94" s="506">
        <v>642</v>
      </c>
      <c r="AG94" s="507">
        <v>600</v>
      </c>
      <c r="AH94" s="507">
        <v>553</v>
      </c>
      <c r="AI94" s="507">
        <v>285</v>
      </c>
      <c r="AJ94" s="507">
        <v>271</v>
      </c>
      <c r="AK94" s="508">
        <f t="shared" si="114"/>
        <v>0.47499999999999998</v>
      </c>
      <c r="AL94" s="509">
        <f t="shared" si="115"/>
        <v>0.51537070524412298</v>
      </c>
      <c r="AM94" s="506">
        <v>533</v>
      </c>
      <c r="AN94" s="507">
        <v>497</v>
      </c>
      <c r="AO94" s="507">
        <v>445</v>
      </c>
      <c r="AP94" s="507">
        <v>274</v>
      </c>
      <c r="AQ94" s="507">
        <v>253</v>
      </c>
      <c r="AR94" s="508">
        <f t="shared" si="116"/>
        <v>0.55130784708249492</v>
      </c>
      <c r="AS94" s="509">
        <f t="shared" si="117"/>
        <v>0.61573033707865166</v>
      </c>
      <c r="AT94" s="506">
        <v>494</v>
      </c>
      <c r="AU94" s="507">
        <v>455</v>
      </c>
      <c r="AV94" s="507">
        <v>401</v>
      </c>
      <c r="AW94" s="507">
        <v>249</v>
      </c>
      <c r="AX94" s="507">
        <v>240</v>
      </c>
      <c r="AY94" s="508">
        <f t="shared" si="118"/>
        <v>0.54725274725274731</v>
      </c>
      <c r="AZ94" s="509">
        <f t="shared" si="119"/>
        <v>0.62094763092269323</v>
      </c>
      <c r="BA94" s="506">
        <v>492</v>
      </c>
      <c r="BB94" s="507">
        <v>446</v>
      </c>
      <c r="BC94" s="507">
        <v>399</v>
      </c>
      <c r="BD94" s="507">
        <v>284</v>
      </c>
      <c r="BE94" s="507">
        <v>216</v>
      </c>
      <c r="BF94" s="508">
        <f t="shared" si="120"/>
        <v>0.63677130044843044</v>
      </c>
      <c r="BG94" s="509">
        <f t="shared" si="121"/>
        <v>0.71177944862155385</v>
      </c>
      <c r="BH94" s="506">
        <v>602</v>
      </c>
      <c r="BI94" s="507">
        <v>527</v>
      </c>
      <c r="BJ94" s="507">
        <v>489</v>
      </c>
      <c r="BK94" s="507">
        <v>355</v>
      </c>
      <c r="BL94" s="507">
        <v>276</v>
      </c>
      <c r="BM94" s="508">
        <f t="shared" si="122"/>
        <v>0.6736242884250474</v>
      </c>
      <c r="BN94" s="509">
        <f t="shared" si="123"/>
        <v>0.72597137014314927</v>
      </c>
      <c r="BO94" s="506">
        <v>573</v>
      </c>
      <c r="BP94" s="507">
        <v>481</v>
      </c>
      <c r="BQ94" s="507">
        <v>453</v>
      </c>
      <c r="BR94" s="507">
        <v>364</v>
      </c>
      <c r="BS94" s="507">
        <v>283</v>
      </c>
      <c r="BT94" s="508">
        <f t="shared" si="124"/>
        <v>0.7567567567567568</v>
      </c>
      <c r="BU94" s="509">
        <f t="shared" si="125"/>
        <v>0.80353200883002207</v>
      </c>
      <c r="BV94" s="506">
        <v>564</v>
      </c>
      <c r="BW94" s="507">
        <v>500</v>
      </c>
      <c r="BX94" s="507">
        <v>472</v>
      </c>
      <c r="BY94" s="507">
        <v>368</v>
      </c>
      <c r="BZ94" s="507">
        <v>297</v>
      </c>
      <c r="CA94" s="508">
        <f t="shared" si="126"/>
        <v>0.73599999999999999</v>
      </c>
      <c r="CB94" s="509">
        <f t="shared" si="127"/>
        <v>0.77966101694915257</v>
      </c>
      <c r="CC94" s="506">
        <v>660</v>
      </c>
      <c r="CD94" s="507">
        <v>562</v>
      </c>
      <c r="CE94" s="507">
        <v>557</v>
      </c>
      <c r="CF94" s="507">
        <v>358</v>
      </c>
      <c r="CG94" s="507">
        <v>299</v>
      </c>
      <c r="CH94" s="508">
        <f t="shared" si="140"/>
        <v>0.63701067615658358</v>
      </c>
      <c r="CI94" s="509">
        <f t="shared" si="141"/>
        <v>0.64272890484739675</v>
      </c>
      <c r="CJ94" s="506">
        <v>690</v>
      </c>
      <c r="CK94" s="507">
        <v>609</v>
      </c>
      <c r="CL94" s="507">
        <v>561</v>
      </c>
      <c r="CM94" s="507">
        <v>284</v>
      </c>
      <c r="CN94" s="507">
        <v>260</v>
      </c>
      <c r="CO94" s="508">
        <f t="shared" si="142"/>
        <v>0.4663382594417077</v>
      </c>
      <c r="CP94" s="508">
        <f t="shared" si="143"/>
        <v>0.50623885918003564</v>
      </c>
      <c r="CQ94" s="508">
        <v>0.55172413793103448</v>
      </c>
      <c r="CR94" s="509">
        <v>0.59893048128342241</v>
      </c>
      <c r="CS94" s="506">
        <v>698</v>
      </c>
      <c r="CT94" s="507">
        <v>620</v>
      </c>
      <c r="CU94" s="507">
        <v>587</v>
      </c>
      <c r="CV94" s="507">
        <v>310</v>
      </c>
      <c r="CW94" s="507">
        <v>294</v>
      </c>
      <c r="CX94" s="508">
        <f t="shared" si="144"/>
        <v>0.5</v>
      </c>
      <c r="CY94" s="508">
        <f t="shared" si="145"/>
        <v>0.52810902896081768</v>
      </c>
      <c r="CZ94" s="508">
        <v>0.58064516129032262</v>
      </c>
      <c r="DA94" s="509">
        <v>0.61328790459965932</v>
      </c>
      <c r="DB94" s="506">
        <v>801</v>
      </c>
      <c r="DC94" s="507">
        <v>699</v>
      </c>
      <c r="DD94" s="507">
        <v>646</v>
      </c>
      <c r="DE94" s="507">
        <v>317</v>
      </c>
      <c r="DF94" s="507">
        <v>310</v>
      </c>
      <c r="DG94" s="508">
        <f t="shared" si="146"/>
        <v>0.45350500715307585</v>
      </c>
      <c r="DH94" s="508">
        <f t="shared" si="147"/>
        <v>0.49071207430340558</v>
      </c>
      <c r="DI94" s="508">
        <v>0.54506437768240346</v>
      </c>
      <c r="DJ94" s="509">
        <v>0.58978328173374617</v>
      </c>
      <c r="DK94" s="506">
        <v>886</v>
      </c>
      <c r="DL94" s="507">
        <v>786</v>
      </c>
      <c r="DM94" s="507">
        <v>710</v>
      </c>
      <c r="DN94" s="507">
        <v>300</v>
      </c>
      <c r="DO94" s="507">
        <v>295</v>
      </c>
      <c r="DP94" s="508">
        <f t="shared" si="148"/>
        <v>0.38167938931297712</v>
      </c>
      <c r="DQ94" s="508">
        <f t="shared" si="149"/>
        <v>0.42253521126760563</v>
      </c>
      <c r="DR94" s="508">
        <v>0.4669211195928753</v>
      </c>
      <c r="DS94" s="509">
        <v>0.5169014084507042</v>
      </c>
      <c r="DT94" s="506">
        <v>908</v>
      </c>
      <c r="DU94" s="507">
        <v>766</v>
      </c>
      <c r="DV94" s="507">
        <v>707</v>
      </c>
      <c r="DW94" s="507">
        <v>310</v>
      </c>
      <c r="DX94" s="507">
        <v>304</v>
      </c>
      <c r="DY94" s="508">
        <f t="shared" si="150"/>
        <v>0.40469973890339428</v>
      </c>
      <c r="DZ94" s="508">
        <f t="shared" si="151"/>
        <v>0.43847241867043846</v>
      </c>
      <c r="EA94" s="508">
        <v>0.46866840731070497</v>
      </c>
      <c r="EB94" s="509">
        <v>0.50777934936350777</v>
      </c>
    </row>
    <row r="95" spans="1:132" s="2" customFormat="1" x14ac:dyDescent="0.25">
      <c r="A95" s="503" t="s">
        <v>282</v>
      </c>
      <c r="B95" s="526" t="s">
        <v>298</v>
      </c>
      <c r="C95" s="527" t="s">
        <v>299</v>
      </c>
      <c r="D95" s="506">
        <v>501</v>
      </c>
      <c r="E95" s="507">
        <v>476</v>
      </c>
      <c r="F95" s="507">
        <v>392</v>
      </c>
      <c r="G95" s="507">
        <v>360</v>
      </c>
      <c r="H95" s="507">
        <v>280</v>
      </c>
      <c r="I95" s="508">
        <f t="shared" si="108"/>
        <v>0.75630252100840334</v>
      </c>
      <c r="J95" s="509">
        <f t="shared" si="109"/>
        <v>0.91836734693877553</v>
      </c>
      <c r="K95" s="506">
        <v>976</v>
      </c>
      <c r="L95" s="507">
        <v>853</v>
      </c>
      <c r="M95" s="507">
        <v>776</v>
      </c>
      <c r="N95" s="507">
        <v>628</v>
      </c>
      <c r="O95" s="507">
        <v>441</v>
      </c>
      <c r="P95" s="508">
        <f t="shared" si="110"/>
        <v>0.73622508792497066</v>
      </c>
      <c r="Q95" s="509">
        <f t="shared" si="111"/>
        <v>0.80927835051546393</v>
      </c>
      <c r="R95" s="506">
        <v>1203</v>
      </c>
      <c r="S95" s="507">
        <v>1153</v>
      </c>
      <c r="T95" s="507">
        <v>1088</v>
      </c>
      <c r="U95" s="507">
        <v>493</v>
      </c>
      <c r="V95" s="507">
        <v>436</v>
      </c>
      <c r="W95" s="508">
        <f t="shared" si="106"/>
        <v>0.42758022549869906</v>
      </c>
      <c r="X95" s="509">
        <f t="shared" si="107"/>
        <v>0.453125</v>
      </c>
      <c r="Y95" s="506">
        <v>1037</v>
      </c>
      <c r="Z95" s="507">
        <v>886</v>
      </c>
      <c r="AA95" s="507">
        <v>598</v>
      </c>
      <c r="AB95" s="507">
        <v>447</v>
      </c>
      <c r="AC95" s="507">
        <v>435</v>
      </c>
      <c r="AD95" s="508">
        <f t="shared" si="112"/>
        <v>0.50451467268623029</v>
      </c>
      <c r="AE95" s="509">
        <f t="shared" si="113"/>
        <v>0.74749163879598657</v>
      </c>
      <c r="AF95" s="506">
        <v>1007</v>
      </c>
      <c r="AG95" s="507">
        <v>916</v>
      </c>
      <c r="AH95" s="507">
        <v>667</v>
      </c>
      <c r="AI95" s="507">
        <v>557</v>
      </c>
      <c r="AJ95" s="507">
        <v>542</v>
      </c>
      <c r="AK95" s="508">
        <f t="shared" si="114"/>
        <v>0.60807860262008728</v>
      </c>
      <c r="AL95" s="509">
        <f t="shared" si="115"/>
        <v>0.83508245877061471</v>
      </c>
      <c r="AM95" s="506">
        <v>1152</v>
      </c>
      <c r="AN95" s="507">
        <v>1009</v>
      </c>
      <c r="AO95" s="507">
        <v>658</v>
      </c>
      <c r="AP95" s="507">
        <v>513</v>
      </c>
      <c r="AQ95" s="507">
        <v>488</v>
      </c>
      <c r="AR95" s="508">
        <f t="shared" si="116"/>
        <v>0.50842418235877107</v>
      </c>
      <c r="AS95" s="509">
        <f t="shared" si="117"/>
        <v>0.77963525835866265</v>
      </c>
      <c r="AT95" s="506">
        <v>1255</v>
      </c>
      <c r="AU95" s="507">
        <v>1038</v>
      </c>
      <c r="AV95" s="507">
        <v>991</v>
      </c>
      <c r="AW95" s="507">
        <v>517</v>
      </c>
      <c r="AX95" s="507">
        <v>492</v>
      </c>
      <c r="AY95" s="508">
        <f t="shared" si="118"/>
        <v>0.4980732177263969</v>
      </c>
      <c r="AZ95" s="509">
        <f t="shared" si="119"/>
        <v>0.52169525731584254</v>
      </c>
      <c r="BA95" s="506">
        <v>1213</v>
      </c>
      <c r="BB95" s="507">
        <v>971</v>
      </c>
      <c r="BC95" s="507">
        <v>950</v>
      </c>
      <c r="BD95" s="507">
        <v>420</v>
      </c>
      <c r="BE95" s="507">
        <v>400</v>
      </c>
      <c r="BF95" s="508">
        <f t="shared" si="120"/>
        <v>0.43254376930998972</v>
      </c>
      <c r="BG95" s="509">
        <f t="shared" si="121"/>
        <v>0.44210526315789472</v>
      </c>
      <c r="BH95" s="506">
        <v>1114</v>
      </c>
      <c r="BI95" s="507">
        <v>916</v>
      </c>
      <c r="BJ95" s="507">
        <v>678</v>
      </c>
      <c r="BK95" s="507">
        <v>498</v>
      </c>
      <c r="BL95" s="507">
        <v>434</v>
      </c>
      <c r="BM95" s="508">
        <f t="shared" si="122"/>
        <v>0.54366812227074235</v>
      </c>
      <c r="BN95" s="509">
        <f t="shared" si="123"/>
        <v>0.73451327433628322</v>
      </c>
      <c r="BO95" s="506">
        <v>1038</v>
      </c>
      <c r="BP95" s="507">
        <v>873</v>
      </c>
      <c r="BQ95" s="507">
        <v>644</v>
      </c>
      <c r="BR95" s="507">
        <v>414</v>
      </c>
      <c r="BS95" s="507">
        <v>363</v>
      </c>
      <c r="BT95" s="508">
        <f t="shared" si="124"/>
        <v>0.47422680412371132</v>
      </c>
      <c r="BU95" s="509">
        <f t="shared" si="125"/>
        <v>0.6428571428571429</v>
      </c>
      <c r="BV95" s="506">
        <v>1095</v>
      </c>
      <c r="BW95" s="507">
        <v>918</v>
      </c>
      <c r="BX95" s="507">
        <v>669</v>
      </c>
      <c r="BY95" s="507">
        <v>486</v>
      </c>
      <c r="BZ95" s="507">
        <v>422</v>
      </c>
      <c r="CA95" s="508">
        <f t="shared" si="126"/>
        <v>0.52941176470588236</v>
      </c>
      <c r="CB95" s="509">
        <f t="shared" si="127"/>
        <v>0.726457399103139</v>
      </c>
      <c r="CC95" s="506">
        <v>1015</v>
      </c>
      <c r="CD95" s="507">
        <v>890</v>
      </c>
      <c r="CE95" s="507">
        <v>800</v>
      </c>
      <c r="CF95" s="507">
        <v>523</v>
      </c>
      <c r="CG95" s="507">
        <v>497</v>
      </c>
      <c r="CH95" s="508">
        <f t="shared" si="140"/>
        <v>0.58764044943820226</v>
      </c>
      <c r="CI95" s="509">
        <f t="shared" si="141"/>
        <v>0.65375000000000005</v>
      </c>
      <c r="CJ95" s="506">
        <v>1303</v>
      </c>
      <c r="CK95" s="507">
        <v>1143</v>
      </c>
      <c r="CL95" s="507">
        <v>999</v>
      </c>
      <c r="CM95" s="507">
        <v>626</v>
      </c>
      <c r="CN95" s="507">
        <v>567</v>
      </c>
      <c r="CO95" s="508">
        <f t="shared" si="142"/>
        <v>0.5476815398075241</v>
      </c>
      <c r="CP95" s="508">
        <f t="shared" si="143"/>
        <v>0.6266266266266266</v>
      </c>
      <c r="CQ95" s="508">
        <v>0.68503937007874016</v>
      </c>
      <c r="CR95" s="509">
        <v>0.78378378378378377</v>
      </c>
      <c r="CS95" s="506">
        <v>1247</v>
      </c>
      <c r="CT95" s="507">
        <v>1056</v>
      </c>
      <c r="CU95" s="507">
        <v>741</v>
      </c>
      <c r="CV95" s="507">
        <v>498</v>
      </c>
      <c r="CW95" s="507">
        <v>392</v>
      </c>
      <c r="CX95" s="508">
        <f t="shared" si="144"/>
        <v>0.47159090909090912</v>
      </c>
      <c r="CY95" s="508">
        <f t="shared" si="145"/>
        <v>0.67206477732793524</v>
      </c>
      <c r="CZ95" s="508">
        <v>0.50189393939393945</v>
      </c>
      <c r="DA95" s="509">
        <v>0.71524966261808365</v>
      </c>
      <c r="DB95" s="506">
        <v>1223</v>
      </c>
      <c r="DC95" s="507">
        <v>1029</v>
      </c>
      <c r="DD95" s="507">
        <v>700</v>
      </c>
      <c r="DE95" s="507">
        <v>522</v>
      </c>
      <c r="DF95" s="507">
        <v>457</v>
      </c>
      <c r="DG95" s="508">
        <f t="shared" si="146"/>
        <v>0.50728862973760935</v>
      </c>
      <c r="DH95" s="508">
        <f t="shared" si="147"/>
        <v>0.74571428571428566</v>
      </c>
      <c r="DI95" s="508">
        <v>0.53449951409135088</v>
      </c>
      <c r="DJ95" s="509">
        <v>0.7857142857142857</v>
      </c>
      <c r="DK95" s="506">
        <v>1218</v>
      </c>
      <c r="DL95" s="507">
        <v>1042</v>
      </c>
      <c r="DM95" s="507">
        <v>720</v>
      </c>
      <c r="DN95" s="507">
        <v>524</v>
      </c>
      <c r="DO95" s="507">
        <v>430</v>
      </c>
      <c r="DP95" s="508">
        <f t="shared" si="148"/>
        <v>0.50287907869481763</v>
      </c>
      <c r="DQ95" s="508">
        <f t="shared" si="149"/>
        <v>0.72777777777777775</v>
      </c>
      <c r="DR95" s="508">
        <v>0.53358925143953939</v>
      </c>
      <c r="DS95" s="509">
        <v>0.77222222222222225</v>
      </c>
      <c r="DT95" s="506">
        <v>1671</v>
      </c>
      <c r="DU95" s="507">
        <v>1381</v>
      </c>
      <c r="DV95" s="507">
        <v>976</v>
      </c>
      <c r="DW95" s="507">
        <v>586</v>
      </c>
      <c r="DX95" s="507">
        <v>477</v>
      </c>
      <c r="DY95" s="508">
        <f t="shared" si="150"/>
        <v>0.42433019551049966</v>
      </c>
      <c r="DZ95" s="508">
        <f t="shared" si="151"/>
        <v>0.60040983606557374</v>
      </c>
      <c r="EA95" s="508">
        <v>0.44677769732078204</v>
      </c>
      <c r="EB95" s="509">
        <v>0.63217213114754101</v>
      </c>
    </row>
    <row r="96" spans="1:132" s="2" customFormat="1" x14ac:dyDescent="0.25">
      <c r="A96" s="511" t="s">
        <v>282</v>
      </c>
      <c r="B96" s="512" t="s">
        <v>300</v>
      </c>
      <c r="C96" s="532" t="s">
        <v>199</v>
      </c>
      <c r="D96" s="514">
        <v>155</v>
      </c>
      <c r="E96" s="515">
        <v>155</v>
      </c>
      <c r="F96" s="515">
        <v>155</v>
      </c>
      <c r="G96" s="515">
        <v>155</v>
      </c>
      <c r="H96" s="515">
        <v>136</v>
      </c>
      <c r="I96" s="516">
        <f t="shared" si="108"/>
        <v>1</v>
      </c>
      <c r="J96" s="517">
        <f t="shared" si="109"/>
        <v>1</v>
      </c>
      <c r="K96" s="514">
        <v>637</v>
      </c>
      <c r="L96" s="515">
        <v>634</v>
      </c>
      <c r="M96" s="515">
        <v>608</v>
      </c>
      <c r="N96" s="515">
        <v>419</v>
      </c>
      <c r="O96" s="515">
        <v>154</v>
      </c>
      <c r="P96" s="516">
        <f t="shared" si="110"/>
        <v>0.66088328075709779</v>
      </c>
      <c r="Q96" s="517">
        <f t="shared" si="111"/>
        <v>0.68914473684210531</v>
      </c>
      <c r="R96" s="514">
        <v>1528</v>
      </c>
      <c r="S96" s="515">
        <v>1348</v>
      </c>
      <c r="T96" s="515">
        <v>1268</v>
      </c>
      <c r="U96" s="515">
        <v>438</v>
      </c>
      <c r="V96" s="515">
        <v>328</v>
      </c>
      <c r="W96" s="516">
        <f t="shared" si="106"/>
        <v>0.32492581602373888</v>
      </c>
      <c r="X96" s="517">
        <f t="shared" si="107"/>
        <v>0.34542586750788645</v>
      </c>
      <c r="Y96" s="514">
        <v>916</v>
      </c>
      <c r="Z96" s="515">
        <v>843</v>
      </c>
      <c r="AA96" s="515">
        <v>753</v>
      </c>
      <c r="AB96" s="515">
        <v>438</v>
      </c>
      <c r="AC96" s="515">
        <v>310</v>
      </c>
      <c r="AD96" s="516">
        <f t="shared" si="112"/>
        <v>0.5195729537366548</v>
      </c>
      <c r="AE96" s="517">
        <f t="shared" si="113"/>
        <v>0.58167330677290841</v>
      </c>
      <c r="AF96" s="514">
        <v>822</v>
      </c>
      <c r="AG96" s="515">
        <v>730</v>
      </c>
      <c r="AH96" s="515">
        <v>655</v>
      </c>
      <c r="AI96" s="515">
        <v>410</v>
      </c>
      <c r="AJ96" s="515">
        <v>298</v>
      </c>
      <c r="AK96" s="516">
        <f t="shared" si="114"/>
        <v>0.56164383561643838</v>
      </c>
      <c r="AL96" s="517">
        <f t="shared" si="115"/>
        <v>0.62595419847328249</v>
      </c>
      <c r="AM96" s="514">
        <v>840</v>
      </c>
      <c r="AN96" s="515">
        <v>752</v>
      </c>
      <c r="AO96" s="515">
        <v>666</v>
      </c>
      <c r="AP96" s="515">
        <v>526</v>
      </c>
      <c r="AQ96" s="515">
        <v>383</v>
      </c>
      <c r="AR96" s="516">
        <f t="shared" si="116"/>
        <v>0.69946808510638303</v>
      </c>
      <c r="AS96" s="517">
        <f t="shared" si="117"/>
        <v>0.78978978978978975</v>
      </c>
      <c r="AT96" s="514">
        <v>791</v>
      </c>
      <c r="AU96" s="515">
        <v>765</v>
      </c>
      <c r="AV96" s="515">
        <v>650</v>
      </c>
      <c r="AW96" s="515">
        <v>532</v>
      </c>
      <c r="AX96" s="515">
        <v>393</v>
      </c>
      <c r="AY96" s="516">
        <f t="shared" si="118"/>
        <v>0.69542483660130716</v>
      </c>
      <c r="AZ96" s="517">
        <f t="shared" si="119"/>
        <v>0.81846153846153846</v>
      </c>
      <c r="BA96" s="514">
        <v>590</v>
      </c>
      <c r="BB96" s="515">
        <v>581</v>
      </c>
      <c r="BC96" s="515">
        <v>483</v>
      </c>
      <c r="BD96" s="515">
        <v>393</v>
      </c>
      <c r="BE96" s="515">
        <v>301</v>
      </c>
      <c r="BF96" s="516">
        <f t="shared" si="120"/>
        <v>0.67641996557659212</v>
      </c>
      <c r="BG96" s="517">
        <f t="shared" si="121"/>
        <v>0.81366459627329191</v>
      </c>
      <c r="BH96" s="514">
        <v>421</v>
      </c>
      <c r="BI96" s="515">
        <v>420</v>
      </c>
      <c r="BJ96" s="515">
        <v>345</v>
      </c>
      <c r="BK96" s="515">
        <v>298</v>
      </c>
      <c r="BL96" s="515">
        <v>228</v>
      </c>
      <c r="BM96" s="516">
        <f t="shared" si="122"/>
        <v>0.70952380952380956</v>
      </c>
      <c r="BN96" s="517">
        <f t="shared" si="123"/>
        <v>0.86376811594202896</v>
      </c>
      <c r="BO96" s="514">
        <v>406</v>
      </c>
      <c r="BP96" s="515">
        <v>401</v>
      </c>
      <c r="BQ96" s="515">
        <v>353</v>
      </c>
      <c r="BR96" s="515">
        <v>337</v>
      </c>
      <c r="BS96" s="515">
        <v>246</v>
      </c>
      <c r="BT96" s="516">
        <f t="shared" si="124"/>
        <v>0.84039900249376553</v>
      </c>
      <c r="BU96" s="517">
        <f t="shared" si="125"/>
        <v>0.95467422096317278</v>
      </c>
      <c r="BV96" s="514">
        <v>507</v>
      </c>
      <c r="BW96" s="515">
        <v>503</v>
      </c>
      <c r="BX96" s="515">
        <v>466</v>
      </c>
      <c r="BY96" s="515">
        <v>458</v>
      </c>
      <c r="BZ96" s="515">
        <v>322</v>
      </c>
      <c r="CA96" s="516">
        <f t="shared" si="126"/>
        <v>0.91053677932405563</v>
      </c>
      <c r="CB96" s="517">
        <f t="shared" si="127"/>
        <v>0.98283261802575106</v>
      </c>
      <c r="CC96" s="514">
        <v>361</v>
      </c>
      <c r="CD96" s="515">
        <v>355</v>
      </c>
      <c r="CE96" s="515">
        <v>255</v>
      </c>
      <c r="CF96" s="515">
        <v>240</v>
      </c>
      <c r="CG96" s="515">
        <v>147</v>
      </c>
      <c r="CH96" s="516">
        <f t="shared" si="140"/>
        <v>0.676056338028169</v>
      </c>
      <c r="CI96" s="517">
        <f t="shared" si="141"/>
        <v>0.94117647058823528</v>
      </c>
      <c r="CJ96" s="514">
        <v>383</v>
      </c>
      <c r="CK96" s="515">
        <v>379</v>
      </c>
      <c r="CL96" s="515">
        <v>303</v>
      </c>
      <c r="CM96" s="515">
        <v>296</v>
      </c>
      <c r="CN96" s="515">
        <v>193</v>
      </c>
      <c r="CO96" s="516">
        <f t="shared" si="142"/>
        <v>0.78100263852242746</v>
      </c>
      <c r="CP96" s="516">
        <f t="shared" si="143"/>
        <v>0.97689768976897695</v>
      </c>
      <c r="CQ96" s="516">
        <v>0.78100263852242746</v>
      </c>
      <c r="CR96" s="517">
        <v>0.97689768976897695</v>
      </c>
      <c r="CS96" s="514">
        <v>573</v>
      </c>
      <c r="CT96" s="515">
        <v>564</v>
      </c>
      <c r="CU96" s="515">
        <v>497</v>
      </c>
      <c r="CV96" s="515">
        <v>456</v>
      </c>
      <c r="CW96" s="515">
        <v>312</v>
      </c>
      <c r="CX96" s="516">
        <f t="shared" si="144"/>
        <v>0.80851063829787229</v>
      </c>
      <c r="CY96" s="516">
        <f t="shared" si="145"/>
        <v>0.91750503018108653</v>
      </c>
      <c r="CZ96" s="516">
        <v>0.80851063829787229</v>
      </c>
      <c r="DA96" s="517">
        <v>0.91750503018108653</v>
      </c>
      <c r="DB96" s="514">
        <v>506</v>
      </c>
      <c r="DC96" s="515">
        <v>500</v>
      </c>
      <c r="DD96" s="515">
        <v>455</v>
      </c>
      <c r="DE96" s="515">
        <v>246</v>
      </c>
      <c r="DF96" s="515">
        <v>179</v>
      </c>
      <c r="DG96" s="516">
        <f t="shared" si="146"/>
        <v>0.49199999999999999</v>
      </c>
      <c r="DH96" s="516">
        <f t="shared" si="147"/>
        <v>0.54065934065934063</v>
      </c>
      <c r="DI96" s="516">
        <v>0.53</v>
      </c>
      <c r="DJ96" s="517">
        <v>0.58241758241758246</v>
      </c>
      <c r="DK96" s="514">
        <v>546</v>
      </c>
      <c r="DL96" s="515">
        <v>542</v>
      </c>
      <c r="DM96" s="515">
        <v>506</v>
      </c>
      <c r="DN96" s="515">
        <v>282</v>
      </c>
      <c r="DO96" s="515">
        <v>210</v>
      </c>
      <c r="DP96" s="516">
        <f t="shared" si="148"/>
        <v>0.52029520295202947</v>
      </c>
      <c r="DQ96" s="516">
        <f t="shared" si="149"/>
        <v>0.55731225296442688</v>
      </c>
      <c r="DR96" s="516">
        <v>0.69372693726937273</v>
      </c>
      <c r="DS96" s="517">
        <v>0.74308300395256921</v>
      </c>
      <c r="DT96" s="514">
        <v>580</v>
      </c>
      <c r="DU96" s="515">
        <v>577</v>
      </c>
      <c r="DV96" s="515">
        <v>522</v>
      </c>
      <c r="DW96" s="515">
        <v>284</v>
      </c>
      <c r="DX96" s="515">
        <v>216</v>
      </c>
      <c r="DY96" s="516">
        <f t="shared" si="150"/>
        <v>0.49220103986135183</v>
      </c>
      <c r="DZ96" s="516">
        <f t="shared" si="151"/>
        <v>0.54406130268199238</v>
      </c>
      <c r="EA96" s="516">
        <v>0.60658578856152512</v>
      </c>
      <c r="EB96" s="517">
        <v>0.67049808429118773</v>
      </c>
    </row>
    <row r="97" spans="1:132" s="2" customFormat="1" x14ac:dyDescent="0.25">
      <c r="A97" s="533" t="s">
        <v>301</v>
      </c>
      <c r="B97" s="489" t="s">
        <v>302</v>
      </c>
      <c r="C97" s="565"/>
      <c r="D97" s="558">
        <v>2219</v>
      </c>
      <c r="E97" s="559">
        <v>1925</v>
      </c>
      <c r="F97" s="559">
        <v>1919</v>
      </c>
      <c r="G97" s="559">
        <v>1714</v>
      </c>
      <c r="H97" s="560">
        <v>905</v>
      </c>
      <c r="I97" s="561">
        <f t="shared" si="108"/>
        <v>0.8903896103896104</v>
      </c>
      <c r="J97" s="562">
        <f t="shared" si="109"/>
        <v>0.89317352787910365</v>
      </c>
      <c r="K97" s="558">
        <v>2258</v>
      </c>
      <c r="L97" s="559">
        <v>1967</v>
      </c>
      <c r="M97" s="559">
        <v>1967</v>
      </c>
      <c r="N97" s="559">
        <v>1753</v>
      </c>
      <c r="O97" s="560">
        <v>1036</v>
      </c>
      <c r="P97" s="561">
        <f t="shared" si="110"/>
        <v>0.89120488052872393</v>
      </c>
      <c r="Q97" s="562">
        <f t="shared" si="111"/>
        <v>0.89120488052872393</v>
      </c>
      <c r="R97" s="558">
        <v>2624</v>
      </c>
      <c r="S97" s="559">
        <v>2207</v>
      </c>
      <c r="T97" s="559">
        <v>2207</v>
      </c>
      <c r="U97" s="559">
        <v>1533</v>
      </c>
      <c r="V97" s="560">
        <v>1161</v>
      </c>
      <c r="W97" s="561">
        <f t="shared" si="106"/>
        <v>0.69460806524694152</v>
      </c>
      <c r="X97" s="562">
        <f t="shared" si="107"/>
        <v>0.69460806524694152</v>
      </c>
      <c r="Y97" s="558">
        <v>3011</v>
      </c>
      <c r="Z97" s="559">
        <v>2236</v>
      </c>
      <c r="AA97" s="559">
        <v>2236</v>
      </c>
      <c r="AB97" s="559">
        <v>1779</v>
      </c>
      <c r="AC97" s="560">
        <v>1191</v>
      </c>
      <c r="AD97" s="561">
        <f t="shared" si="112"/>
        <v>0.79561717352415029</v>
      </c>
      <c r="AE97" s="562">
        <f t="shared" si="113"/>
        <v>0.79561717352415029</v>
      </c>
      <c r="AF97" s="558">
        <v>3057</v>
      </c>
      <c r="AG97" s="559">
        <v>2301</v>
      </c>
      <c r="AH97" s="559">
        <v>2301</v>
      </c>
      <c r="AI97" s="559">
        <v>1924</v>
      </c>
      <c r="AJ97" s="560">
        <v>1284</v>
      </c>
      <c r="AK97" s="561">
        <f t="shared" si="114"/>
        <v>0.83615819209039544</v>
      </c>
      <c r="AL97" s="562">
        <f t="shared" si="115"/>
        <v>0.83615819209039544</v>
      </c>
      <c r="AM97" s="558">
        <v>2811</v>
      </c>
      <c r="AN97" s="559">
        <v>2060</v>
      </c>
      <c r="AO97" s="559">
        <v>2060</v>
      </c>
      <c r="AP97" s="559">
        <v>1531</v>
      </c>
      <c r="AQ97" s="560">
        <v>975</v>
      </c>
      <c r="AR97" s="561">
        <f t="shared" si="116"/>
        <v>0.74320388349514566</v>
      </c>
      <c r="AS97" s="562">
        <f t="shared" si="117"/>
        <v>0.74320388349514566</v>
      </c>
      <c r="AT97" s="558">
        <v>2800</v>
      </c>
      <c r="AU97" s="559">
        <v>2023</v>
      </c>
      <c r="AV97" s="559">
        <v>2020</v>
      </c>
      <c r="AW97" s="559">
        <v>1435</v>
      </c>
      <c r="AX97" s="560">
        <v>884</v>
      </c>
      <c r="AY97" s="561">
        <f t="shared" si="118"/>
        <v>0.70934256055363321</v>
      </c>
      <c r="AZ97" s="562">
        <f t="shared" si="119"/>
        <v>0.71039603960396036</v>
      </c>
      <c r="BA97" s="558">
        <v>2696</v>
      </c>
      <c r="BB97" s="559">
        <v>1916</v>
      </c>
      <c r="BC97" s="559">
        <v>1916</v>
      </c>
      <c r="BD97" s="559">
        <v>1435</v>
      </c>
      <c r="BE97" s="560">
        <v>897</v>
      </c>
      <c r="BF97" s="561">
        <f t="shared" si="120"/>
        <v>0.7489561586638831</v>
      </c>
      <c r="BG97" s="562">
        <f t="shared" si="121"/>
        <v>0.7489561586638831</v>
      </c>
      <c r="BH97" s="558">
        <v>2831</v>
      </c>
      <c r="BI97" s="559">
        <v>1958</v>
      </c>
      <c r="BJ97" s="559">
        <v>1958</v>
      </c>
      <c r="BK97" s="559">
        <v>1540</v>
      </c>
      <c r="BL97" s="560">
        <v>939</v>
      </c>
      <c r="BM97" s="561">
        <f t="shared" si="122"/>
        <v>0.7865168539325843</v>
      </c>
      <c r="BN97" s="562">
        <f t="shared" si="123"/>
        <v>0.7865168539325843</v>
      </c>
      <c r="BO97" s="558">
        <v>2718</v>
      </c>
      <c r="BP97" s="559">
        <v>1864</v>
      </c>
      <c r="BQ97" s="559">
        <v>1864</v>
      </c>
      <c r="BR97" s="559">
        <v>1499</v>
      </c>
      <c r="BS97" s="560">
        <v>929</v>
      </c>
      <c r="BT97" s="561">
        <f t="shared" si="124"/>
        <v>0.80418454935622319</v>
      </c>
      <c r="BU97" s="562">
        <f t="shared" si="125"/>
        <v>0.80418454935622319</v>
      </c>
      <c r="BV97" s="558">
        <v>2212</v>
      </c>
      <c r="BW97" s="559">
        <v>1606</v>
      </c>
      <c r="BX97" s="559">
        <v>1606</v>
      </c>
      <c r="BY97" s="559">
        <v>1267</v>
      </c>
      <c r="BZ97" s="560">
        <v>708</v>
      </c>
      <c r="CA97" s="561">
        <f t="shared" si="126"/>
        <v>0.78891656288916567</v>
      </c>
      <c r="CB97" s="562">
        <f t="shared" si="127"/>
        <v>0.78891656288916567</v>
      </c>
      <c r="CC97" s="558">
        <v>2329</v>
      </c>
      <c r="CD97" s="559">
        <v>1716</v>
      </c>
      <c r="CE97" s="559">
        <v>1716</v>
      </c>
      <c r="CF97" s="559">
        <v>1152</v>
      </c>
      <c r="CG97" s="560">
        <v>815</v>
      </c>
      <c r="CH97" s="561">
        <f t="shared" si="140"/>
        <v>0.67132867132867136</v>
      </c>
      <c r="CI97" s="562">
        <f t="shared" si="141"/>
        <v>0.67132867132867136</v>
      </c>
      <c r="CJ97" s="558">
        <v>2520</v>
      </c>
      <c r="CK97" s="559">
        <v>1822</v>
      </c>
      <c r="CL97" s="559">
        <v>1788</v>
      </c>
      <c r="CM97" s="559">
        <v>1264</v>
      </c>
      <c r="CN97" s="560">
        <v>850</v>
      </c>
      <c r="CO97" s="561">
        <f t="shared" si="142"/>
        <v>0.69374313940724475</v>
      </c>
      <c r="CP97" s="664">
        <f t="shared" si="143"/>
        <v>0.70693512304250561</v>
      </c>
      <c r="CQ97" s="561">
        <v>0.96158068057080137</v>
      </c>
      <c r="CR97" s="562">
        <v>0.97986577181208057</v>
      </c>
      <c r="CS97" s="558">
        <v>2696</v>
      </c>
      <c r="CT97" s="559">
        <v>2052</v>
      </c>
      <c r="CU97" s="559">
        <v>2004</v>
      </c>
      <c r="CV97" s="559">
        <v>1564</v>
      </c>
      <c r="CW97" s="560">
        <v>978</v>
      </c>
      <c r="CX97" s="561">
        <f t="shared" si="144"/>
        <v>0.76218323586744641</v>
      </c>
      <c r="CY97" s="664">
        <f t="shared" si="145"/>
        <v>0.780439121756487</v>
      </c>
      <c r="CZ97" s="561">
        <v>0.95467836257309946</v>
      </c>
      <c r="DA97" s="562">
        <v>0.97754491017964074</v>
      </c>
      <c r="DB97" s="558">
        <v>2634</v>
      </c>
      <c r="DC97" s="559">
        <v>1967</v>
      </c>
      <c r="DD97" s="559">
        <v>1911</v>
      </c>
      <c r="DE97" s="559">
        <v>1460</v>
      </c>
      <c r="DF97" s="560">
        <v>888</v>
      </c>
      <c r="DG97" s="561">
        <f t="shared" si="146"/>
        <v>0.74224707676664969</v>
      </c>
      <c r="DH97" s="664">
        <f t="shared" si="147"/>
        <v>0.76399790685504976</v>
      </c>
      <c r="DI97" s="561">
        <v>0.92628368073207934</v>
      </c>
      <c r="DJ97" s="562">
        <v>0.95342752485609628</v>
      </c>
      <c r="DK97" s="558">
        <v>2624</v>
      </c>
      <c r="DL97" s="559">
        <v>1961</v>
      </c>
      <c r="DM97" s="559">
        <v>1927</v>
      </c>
      <c r="DN97" s="559">
        <v>1461</v>
      </c>
      <c r="DO97" s="560">
        <v>855</v>
      </c>
      <c r="DP97" s="561">
        <f t="shared" si="148"/>
        <v>0.74502804691483937</v>
      </c>
      <c r="DQ97" s="664">
        <f t="shared" si="149"/>
        <v>0.75817332641411517</v>
      </c>
      <c r="DR97" s="561">
        <v>0.90005099439061709</v>
      </c>
      <c r="DS97" s="562">
        <v>0.91593149974052934</v>
      </c>
      <c r="DT97" s="558">
        <v>3043</v>
      </c>
      <c r="DU97" s="559">
        <v>2240</v>
      </c>
      <c r="DV97" s="559">
        <v>2176</v>
      </c>
      <c r="DW97" s="559">
        <v>1659</v>
      </c>
      <c r="DX97" s="560">
        <v>984</v>
      </c>
      <c r="DY97" s="561">
        <f t="shared" si="150"/>
        <v>0.74062499999999998</v>
      </c>
      <c r="DZ97" s="664">
        <f t="shared" si="151"/>
        <v>0.76240808823529416</v>
      </c>
      <c r="EA97" s="561">
        <v>0.88258928571428574</v>
      </c>
      <c r="EB97" s="562">
        <v>0.90854779411764708</v>
      </c>
    </row>
    <row r="98" spans="1:132" s="2" customFormat="1" x14ac:dyDescent="0.25">
      <c r="A98" s="554" t="s">
        <v>301</v>
      </c>
      <c r="B98" s="555" t="s">
        <v>303</v>
      </c>
      <c r="C98" s="556" t="s">
        <v>304</v>
      </c>
      <c r="D98" s="499">
        <v>885</v>
      </c>
      <c r="E98" s="500">
        <v>876</v>
      </c>
      <c r="F98" s="500">
        <v>874</v>
      </c>
      <c r="G98" s="500">
        <v>769</v>
      </c>
      <c r="H98" s="500">
        <v>336</v>
      </c>
      <c r="I98" s="501">
        <f t="shared" si="108"/>
        <v>0.87785388127853881</v>
      </c>
      <c r="J98" s="502">
        <f t="shared" si="109"/>
        <v>0.87986270022883295</v>
      </c>
      <c r="K98" s="499">
        <v>852</v>
      </c>
      <c r="L98" s="500">
        <v>844</v>
      </c>
      <c r="M98" s="500">
        <v>844</v>
      </c>
      <c r="N98" s="500">
        <v>721</v>
      </c>
      <c r="O98" s="500">
        <v>362</v>
      </c>
      <c r="P98" s="501">
        <f t="shared" si="110"/>
        <v>0.85426540284360186</v>
      </c>
      <c r="Q98" s="502">
        <f t="shared" si="111"/>
        <v>0.85426540284360186</v>
      </c>
      <c r="R98" s="499">
        <v>867</v>
      </c>
      <c r="S98" s="500">
        <v>860</v>
      </c>
      <c r="T98" s="500">
        <v>860</v>
      </c>
      <c r="U98" s="500">
        <v>557</v>
      </c>
      <c r="V98" s="500">
        <v>363</v>
      </c>
      <c r="W98" s="501">
        <f t="shared" si="106"/>
        <v>0.64767441860465114</v>
      </c>
      <c r="X98" s="502">
        <f t="shared" si="107"/>
        <v>0.64767441860465114</v>
      </c>
      <c r="Y98" s="499">
        <v>963</v>
      </c>
      <c r="Z98" s="500">
        <v>862</v>
      </c>
      <c r="AA98" s="500">
        <v>862</v>
      </c>
      <c r="AB98" s="500">
        <v>687</v>
      </c>
      <c r="AC98" s="500">
        <v>395</v>
      </c>
      <c r="AD98" s="501">
        <f t="shared" si="112"/>
        <v>0.79698375870069604</v>
      </c>
      <c r="AE98" s="502">
        <f t="shared" si="113"/>
        <v>0.79698375870069604</v>
      </c>
      <c r="AF98" s="499">
        <v>1043</v>
      </c>
      <c r="AG98" s="500">
        <v>932</v>
      </c>
      <c r="AH98" s="500">
        <v>932</v>
      </c>
      <c r="AI98" s="500">
        <v>741</v>
      </c>
      <c r="AJ98" s="500">
        <v>406</v>
      </c>
      <c r="AK98" s="501">
        <f t="shared" si="114"/>
        <v>0.79506437768240346</v>
      </c>
      <c r="AL98" s="502">
        <f t="shared" si="115"/>
        <v>0.79506437768240346</v>
      </c>
      <c r="AM98" s="499">
        <v>925</v>
      </c>
      <c r="AN98" s="500">
        <v>818</v>
      </c>
      <c r="AO98" s="500">
        <v>818</v>
      </c>
      <c r="AP98" s="500">
        <v>583</v>
      </c>
      <c r="AQ98" s="500">
        <v>322</v>
      </c>
      <c r="AR98" s="501">
        <f t="shared" si="116"/>
        <v>0.71271393643031788</v>
      </c>
      <c r="AS98" s="502">
        <f t="shared" si="117"/>
        <v>0.71271393643031788</v>
      </c>
      <c r="AT98" s="499">
        <v>926</v>
      </c>
      <c r="AU98" s="500">
        <v>809</v>
      </c>
      <c r="AV98" s="500">
        <v>809</v>
      </c>
      <c r="AW98" s="500">
        <v>557</v>
      </c>
      <c r="AX98" s="500">
        <v>291</v>
      </c>
      <c r="AY98" s="501">
        <f t="shared" si="118"/>
        <v>0.68850432632880099</v>
      </c>
      <c r="AZ98" s="502">
        <f t="shared" si="119"/>
        <v>0.68850432632880099</v>
      </c>
      <c r="BA98" s="499">
        <v>765</v>
      </c>
      <c r="BB98" s="500">
        <v>677</v>
      </c>
      <c r="BC98" s="500">
        <v>677</v>
      </c>
      <c r="BD98" s="500">
        <v>497</v>
      </c>
      <c r="BE98" s="500">
        <v>272</v>
      </c>
      <c r="BF98" s="501">
        <f t="shared" si="120"/>
        <v>0.73412112259970463</v>
      </c>
      <c r="BG98" s="502">
        <f t="shared" si="121"/>
        <v>0.73412112259970463</v>
      </c>
      <c r="BH98" s="499">
        <v>817</v>
      </c>
      <c r="BI98" s="500">
        <v>729</v>
      </c>
      <c r="BJ98" s="500">
        <v>729</v>
      </c>
      <c r="BK98" s="500">
        <v>549</v>
      </c>
      <c r="BL98" s="500">
        <v>280</v>
      </c>
      <c r="BM98" s="501">
        <f t="shared" si="122"/>
        <v>0.75308641975308643</v>
      </c>
      <c r="BN98" s="502">
        <f t="shared" si="123"/>
        <v>0.75308641975308643</v>
      </c>
      <c r="BO98" s="499">
        <v>773</v>
      </c>
      <c r="BP98" s="500">
        <v>706</v>
      </c>
      <c r="BQ98" s="500">
        <v>706</v>
      </c>
      <c r="BR98" s="500">
        <v>524</v>
      </c>
      <c r="BS98" s="500">
        <v>264</v>
      </c>
      <c r="BT98" s="501">
        <f t="shared" si="124"/>
        <v>0.74220963172804533</v>
      </c>
      <c r="BU98" s="502">
        <f t="shared" si="125"/>
        <v>0.74220963172804533</v>
      </c>
      <c r="BV98" s="499">
        <v>767</v>
      </c>
      <c r="BW98" s="500">
        <v>684</v>
      </c>
      <c r="BX98" s="500">
        <v>684</v>
      </c>
      <c r="BY98" s="500">
        <v>541</v>
      </c>
      <c r="BZ98" s="500">
        <v>231</v>
      </c>
      <c r="CA98" s="501">
        <f t="shared" si="126"/>
        <v>0.79093567251461994</v>
      </c>
      <c r="CB98" s="502">
        <f t="shared" si="127"/>
        <v>0.79093567251461994</v>
      </c>
      <c r="CC98" s="499">
        <v>689</v>
      </c>
      <c r="CD98" s="500">
        <v>619</v>
      </c>
      <c r="CE98" s="500">
        <v>619</v>
      </c>
      <c r="CF98" s="500">
        <v>398</v>
      </c>
      <c r="CG98" s="500">
        <v>236</v>
      </c>
      <c r="CH98" s="501">
        <f t="shared" si="140"/>
        <v>0.64297253634894991</v>
      </c>
      <c r="CI98" s="502">
        <f t="shared" si="141"/>
        <v>0.64297253634894991</v>
      </c>
      <c r="CJ98" s="499">
        <v>732</v>
      </c>
      <c r="CK98" s="500">
        <v>648</v>
      </c>
      <c r="CL98" s="500">
        <v>648</v>
      </c>
      <c r="CM98" s="500">
        <v>476</v>
      </c>
      <c r="CN98" s="500">
        <v>246</v>
      </c>
      <c r="CO98" s="501">
        <f t="shared" si="142"/>
        <v>0.73456790123456794</v>
      </c>
      <c r="CP98" s="501">
        <f t="shared" si="143"/>
        <v>0.73456790123456794</v>
      </c>
      <c r="CQ98" s="501">
        <v>0.98148148148148151</v>
      </c>
      <c r="CR98" s="502">
        <v>0.98148148148148151</v>
      </c>
      <c r="CS98" s="499">
        <v>762</v>
      </c>
      <c r="CT98" s="500">
        <v>686</v>
      </c>
      <c r="CU98" s="500">
        <v>685</v>
      </c>
      <c r="CV98" s="500">
        <v>533</v>
      </c>
      <c r="CW98" s="500">
        <v>263</v>
      </c>
      <c r="CX98" s="501">
        <f t="shared" si="144"/>
        <v>0.77696793002915454</v>
      </c>
      <c r="CY98" s="501">
        <f t="shared" si="145"/>
        <v>0.77810218978102186</v>
      </c>
      <c r="CZ98" s="501">
        <v>0.97813411078717205</v>
      </c>
      <c r="DA98" s="502">
        <v>0.9795620437956204</v>
      </c>
      <c r="DB98" s="499">
        <v>773</v>
      </c>
      <c r="DC98" s="500">
        <v>702</v>
      </c>
      <c r="DD98" s="500">
        <v>699</v>
      </c>
      <c r="DE98" s="500">
        <v>545</v>
      </c>
      <c r="DF98" s="500">
        <v>295</v>
      </c>
      <c r="DG98" s="501">
        <f t="shared" si="146"/>
        <v>0.77635327635327633</v>
      </c>
      <c r="DH98" s="501">
        <f t="shared" si="147"/>
        <v>0.77968526466380539</v>
      </c>
      <c r="DI98" s="501">
        <v>0.96866096866096862</v>
      </c>
      <c r="DJ98" s="502">
        <v>0.97281831187410583</v>
      </c>
      <c r="DK98" s="499">
        <v>760</v>
      </c>
      <c r="DL98" s="500">
        <v>655</v>
      </c>
      <c r="DM98" s="500">
        <v>644</v>
      </c>
      <c r="DN98" s="500">
        <v>472</v>
      </c>
      <c r="DO98" s="500">
        <v>235</v>
      </c>
      <c r="DP98" s="501">
        <f t="shared" si="148"/>
        <v>0.72061068702290076</v>
      </c>
      <c r="DQ98" s="501">
        <f t="shared" si="149"/>
        <v>0.73291925465838514</v>
      </c>
      <c r="DR98" s="501">
        <v>0.87633587786259537</v>
      </c>
      <c r="DS98" s="502">
        <v>0.89130434782608692</v>
      </c>
      <c r="DT98" s="499">
        <v>900</v>
      </c>
      <c r="DU98" s="500">
        <v>779</v>
      </c>
      <c r="DV98" s="500">
        <v>775</v>
      </c>
      <c r="DW98" s="500">
        <v>607</v>
      </c>
      <c r="DX98" s="500">
        <v>303</v>
      </c>
      <c r="DY98" s="501">
        <f t="shared" si="150"/>
        <v>0.77920410783055194</v>
      </c>
      <c r="DZ98" s="501">
        <f t="shared" si="151"/>
        <v>0.78322580645161288</v>
      </c>
      <c r="EA98" s="501">
        <v>0.92554557124518611</v>
      </c>
      <c r="EB98" s="502">
        <v>0.93032258064516127</v>
      </c>
    </row>
    <row r="99" spans="1:132" s="2" customFormat="1" x14ac:dyDescent="0.25">
      <c r="A99" s="503" t="s">
        <v>301</v>
      </c>
      <c r="B99" s="504" t="s">
        <v>305</v>
      </c>
      <c r="C99" s="505" t="s">
        <v>306</v>
      </c>
      <c r="D99" s="506">
        <v>279</v>
      </c>
      <c r="E99" s="507">
        <v>277</v>
      </c>
      <c r="F99" s="507">
        <v>276</v>
      </c>
      <c r="G99" s="507">
        <v>247</v>
      </c>
      <c r="H99" s="507">
        <v>118</v>
      </c>
      <c r="I99" s="508">
        <f t="shared" si="108"/>
        <v>0.89169675090252709</v>
      </c>
      <c r="J99" s="509">
        <f t="shared" si="109"/>
        <v>0.89492753623188404</v>
      </c>
      <c r="K99" s="506">
        <v>307</v>
      </c>
      <c r="L99" s="507">
        <v>307</v>
      </c>
      <c r="M99" s="507">
        <v>307</v>
      </c>
      <c r="N99" s="507">
        <v>283</v>
      </c>
      <c r="O99" s="507">
        <v>162</v>
      </c>
      <c r="P99" s="508">
        <f t="shared" si="110"/>
        <v>0.92182410423452765</v>
      </c>
      <c r="Q99" s="509">
        <f t="shared" si="111"/>
        <v>0.92182410423452765</v>
      </c>
      <c r="R99" s="506">
        <v>274</v>
      </c>
      <c r="S99" s="507">
        <v>273</v>
      </c>
      <c r="T99" s="507">
        <v>273</v>
      </c>
      <c r="U99" s="507">
        <v>220</v>
      </c>
      <c r="V99" s="507">
        <v>138</v>
      </c>
      <c r="W99" s="508">
        <f t="shared" si="106"/>
        <v>0.80586080586080588</v>
      </c>
      <c r="X99" s="509">
        <f t="shared" si="107"/>
        <v>0.80586080586080588</v>
      </c>
      <c r="Y99" s="506">
        <v>247</v>
      </c>
      <c r="Z99" s="507">
        <v>224</v>
      </c>
      <c r="AA99" s="507">
        <v>224</v>
      </c>
      <c r="AB99" s="507">
        <v>184</v>
      </c>
      <c r="AC99" s="507">
        <v>113</v>
      </c>
      <c r="AD99" s="508">
        <f t="shared" si="112"/>
        <v>0.8214285714285714</v>
      </c>
      <c r="AE99" s="509">
        <f t="shared" si="113"/>
        <v>0.8214285714285714</v>
      </c>
      <c r="AF99" s="506">
        <v>290</v>
      </c>
      <c r="AG99" s="507">
        <v>266</v>
      </c>
      <c r="AH99" s="507">
        <v>266</v>
      </c>
      <c r="AI99" s="507">
        <v>231</v>
      </c>
      <c r="AJ99" s="507">
        <v>152</v>
      </c>
      <c r="AK99" s="508">
        <f t="shared" si="114"/>
        <v>0.86842105263157898</v>
      </c>
      <c r="AL99" s="509">
        <f t="shared" si="115"/>
        <v>0.86842105263157898</v>
      </c>
      <c r="AM99" s="506">
        <v>351</v>
      </c>
      <c r="AN99" s="507">
        <v>288</v>
      </c>
      <c r="AO99" s="507">
        <v>288</v>
      </c>
      <c r="AP99" s="507">
        <v>225</v>
      </c>
      <c r="AQ99" s="507">
        <v>156</v>
      </c>
      <c r="AR99" s="508">
        <f t="shared" si="116"/>
        <v>0.78125</v>
      </c>
      <c r="AS99" s="509">
        <f t="shared" si="117"/>
        <v>0.78125</v>
      </c>
      <c r="AT99" s="506">
        <v>226</v>
      </c>
      <c r="AU99" s="507">
        <v>199</v>
      </c>
      <c r="AV99" s="507">
        <v>198</v>
      </c>
      <c r="AW99" s="507">
        <v>159</v>
      </c>
      <c r="AX99" s="507">
        <v>106</v>
      </c>
      <c r="AY99" s="508">
        <f t="shared" si="118"/>
        <v>0.79899497487437188</v>
      </c>
      <c r="AZ99" s="509">
        <f t="shared" si="119"/>
        <v>0.80303030303030298</v>
      </c>
      <c r="BA99" s="506">
        <v>151</v>
      </c>
      <c r="BB99" s="507">
        <v>140</v>
      </c>
      <c r="BC99" s="507">
        <v>140</v>
      </c>
      <c r="BD99" s="507">
        <v>105</v>
      </c>
      <c r="BE99" s="507">
        <v>65</v>
      </c>
      <c r="BF99" s="508">
        <f t="shared" si="120"/>
        <v>0.75</v>
      </c>
      <c r="BG99" s="509">
        <f t="shared" si="121"/>
        <v>0.75</v>
      </c>
      <c r="BH99" s="506">
        <v>148</v>
      </c>
      <c r="BI99" s="507">
        <v>130</v>
      </c>
      <c r="BJ99" s="507">
        <v>130</v>
      </c>
      <c r="BK99" s="507">
        <v>106</v>
      </c>
      <c r="BL99" s="507">
        <v>60</v>
      </c>
      <c r="BM99" s="508">
        <f t="shared" si="122"/>
        <v>0.81538461538461537</v>
      </c>
      <c r="BN99" s="509">
        <f t="shared" si="123"/>
        <v>0.81538461538461537</v>
      </c>
      <c r="BO99" s="506">
        <v>161</v>
      </c>
      <c r="BP99" s="507">
        <v>144</v>
      </c>
      <c r="BQ99" s="507">
        <v>144</v>
      </c>
      <c r="BR99" s="507">
        <v>101</v>
      </c>
      <c r="BS99" s="507">
        <v>66</v>
      </c>
      <c r="BT99" s="508">
        <f t="shared" si="124"/>
        <v>0.70138888888888884</v>
      </c>
      <c r="BU99" s="509">
        <f t="shared" si="125"/>
        <v>0.70138888888888884</v>
      </c>
      <c r="BV99" s="506">
        <v>136</v>
      </c>
      <c r="BW99" s="507">
        <v>125</v>
      </c>
      <c r="BX99" s="507">
        <v>125</v>
      </c>
      <c r="BY99" s="507">
        <v>106</v>
      </c>
      <c r="BZ99" s="507">
        <v>55</v>
      </c>
      <c r="CA99" s="508">
        <f t="shared" si="126"/>
        <v>0.84799999999999998</v>
      </c>
      <c r="CB99" s="509">
        <f t="shared" si="127"/>
        <v>0.84799999999999998</v>
      </c>
      <c r="CC99" s="506">
        <v>145</v>
      </c>
      <c r="CD99" s="507">
        <v>133</v>
      </c>
      <c r="CE99" s="507">
        <v>133</v>
      </c>
      <c r="CF99" s="507">
        <v>99</v>
      </c>
      <c r="CG99" s="507">
        <v>48</v>
      </c>
      <c r="CH99" s="508">
        <f t="shared" si="140"/>
        <v>0.74436090225563911</v>
      </c>
      <c r="CI99" s="509">
        <f t="shared" si="141"/>
        <v>0.74436090225563911</v>
      </c>
      <c r="CJ99" s="506">
        <v>156</v>
      </c>
      <c r="CK99" s="507">
        <v>146</v>
      </c>
      <c r="CL99" s="507">
        <v>146</v>
      </c>
      <c r="CM99" s="507">
        <v>118</v>
      </c>
      <c r="CN99" s="507">
        <v>57</v>
      </c>
      <c r="CO99" s="508">
        <f t="shared" si="142"/>
        <v>0.80821917808219179</v>
      </c>
      <c r="CP99" s="508">
        <f t="shared" si="143"/>
        <v>0.80821917808219179</v>
      </c>
      <c r="CQ99" s="508">
        <v>0.95890410958904104</v>
      </c>
      <c r="CR99" s="509">
        <v>0.95890410958904104</v>
      </c>
      <c r="CS99" s="506">
        <v>153</v>
      </c>
      <c r="CT99" s="507">
        <v>141</v>
      </c>
      <c r="CU99" s="507">
        <v>141</v>
      </c>
      <c r="CV99" s="507">
        <v>118</v>
      </c>
      <c r="CW99" s="507">
        <v>58</v>
      </c>
      <c r="CX99" s="508">
        <f t="shared" si="144"/>
        <v>0.83687943262411346</v>
      </c>
      <c r="CY99" s="508">
        <f t="shared" si="145"/>
        <v>0.83687943262411346</v>
      </c>
      <c r="CZ99" s="508">
        <v>0.96453900709219853</v>
      </c>
      <c r="DA99" s="509">
        <v>0.96453900709219853</v>
      </c>
      <c r="DB99" s="506">
        <v>135</v>
      </c>
      <c r="DC99" s="507">
        <v>119</v>
      </c>
      <c r="DD99" s="507">
        <v>118</v>
      </c>
      <c r="DE99" s="507">
        <v>93</v>
      </c>
      <c r="DF99" s="507">
        <v>50</v>
      </c>
      <c r="DG99" s="508">
        <f t="shared" si="146"/>
        <v>0.78151260504201681</v>
      </c>
      <c r="DH99" s="508">
        <f t="shared" si="147"/>
        <v>0.78813559322033899</v>
      </c>
      <c r="DI99" s="508">
        <v>0.99159663865546221</v>
      </c>
      <c r="DJ99" s="509">
        <v>1</v>
      </c>
      <c r="DK99" s="506">
        <v>143</v>
      </c>
      <c r="DL99" s="507">
        <v>124</v>
      </c>
      <c r="DM99" s="507">
        <v>124</v>
      </c>
      <c r="DN99" s="507">
        <v>102</v>
      </c>
      <c r="DO99" s="507">
        <v>53</v>
      </c>
      <c r="DP99" s="508">
        <f t="shared" si="148"/>
        <v>0.82258064516129037</v>
      </c>
      <c r="DQ99" s="508">
        <f t="shared" si="149"/>
        <v>0.82258064516129037</v>
      </c>
      <c r="DR99" s="508">
        <v>1</v>
      </c>
      <c r="DS99" s="509">
        <v>1</v>
      </c>
      <c r="DT99" s="506">
        <v>254</v>
      </c>
      <c r="DU99" s="507">
        <v>215</v>
      </c>
      <c r="DV99" s="507">
        <v>215</v>
      </c>
      <c r="DW99" s="507">
        <v>164</v>
      </c>
      <c r="DX99" s="507">
        <v>96</v>
      </c>
      <c r="DY99" s="508">
        <f t="shared" si="150"/>
        <v>0.76279069767441865</v>
      </c>
      <c r="DZ99" s="508">
        <f t="shared" si="151"/>
        <v>0.76279069767441865</v>
      </c>
      <c r="EA99" s="508">
        <v>0.93488372093023253</v>
      </c>
      <c r="EB99" s="509">
        <v>0.93488372093023253</v>
      </c>
    </row>
    <row r="100" spans="1:132" s="2" customFormat="1" x14ac:dyDescent="0.25">
      <c r="A100" s="503" t="s">
        <v>301</v>
      </c>
      <c r="B100" s="504" t="s">
        <v>307</v>
      </c>
      <c r="C100" s="505" t="s">
        <v>308</v>
      </c>
      <c r="D100" s="506">
        <v>769</v>
      </c>
      <c r="E100" s="507">
        <v>766</v>
      </c>
      <c r="F100" s="507">
        <v>764</v>
      </c>
      <c r="G100" s="507">
        <v>688</v>
      </c>
      <c r="H100" s="507">
        <v>298</v>
      </c>
      <c r="I100" s="508">
        <f t="shared" si="108"/>
        <v>0.89817232375979117</v>
      </c>
      <c r="J100" s="509">
        <f t="shared" si="109"/>
        <v>0.90052356020942403</v>
      </c>
      <c r="K100" s="506">
        <v>811</v>
      </c>
      <c r="L100" s="507">
        <v>811</v>
      </c>
      <c r="M100" s="507">
        <v>811</v>
      </c>
      <c r="N100" s="507">
        <v>732</v>
      </c>
      <c r="O100" s="507">
        <v>343</v>
      </c>
      <c r="P100" s="508">
        <f t="shared" si="110"/>
        <v>0.90258939580764486</v>
      </c>
      <c r="Q100" s="509">
        <f t="shared" si="111"/>
        <v>0.90258939580764486</v>
      </c>
      <c r="R100" s="506">
        <v>1087</v>
      </c>
      <c r="S100" s="507">
        <v>1066</v>
      </c>
      <c r="T100" s="507">
        <v>1066</v>
      </c>
      <c r="U100" s="507">
        <v>691</v>
      </c>
      <c r="V100" s="507">
        <v>474</v>
      </c>
      <c r="W100" s="508">
        <f t="shared" si="106"/>
        <v>0.64821763602251403</v>
      </c>
      <c r="X100" s="509">
        <f t="shared" si="107"/>
        <v>0.64821763602251403</v>
      </c>
      <c r="Y100" s="506">
        <v>1422</v>
      </c>
      <c r="Z100" s="507">
        <v>1251</v>
      </c>
      <c r="AA100" s="507">
        <v>1251</v>
      </c>
      <c r="AB100" s="507">
        <v>920</v>
      </c>
      <c r="AC100" s="507">
        <v>545</v>
      </c>
      <c r="AD100" s="508">
        <f t="shared" si="112"/>
        <v>0.73541167066346924</v>
      </c>
      <c r="AE100" s="509">
        <f t="shared" si="113"/>
        <v>0.73541167066346924</v>
      </c>
      <c r="AF100" s="506">
        <v>1324</v>
      </c>
      <c r="AG100" s="507">
        <v>1192</v>
      </c>
      <c r="AH100" s="507">
        <v>1192</v>
      </c>
      <c r="AI100" s="507">
        <v>943</v>
      </c>
      <c r="AJ100" s="507">
        <v>530</v>
      </c>
      <c r="AK100" s="508">
        <f t="shared" si="114"/>
        <v>0.79110738255033553</v>
      </c>
      <c r="AL100" s="509">
        <f t="shared" si="115"/>
        <v>0.79110738255033553</v>
      </c>
      <c r="AM100" s="506">
        <v>1175</v>
      </c>
      <c r="AN100" s="507">
        <v>977</v>
      </c>
      <c r="AO100" s="507">
        <v>977</v>
      </c>
      <c r="AP100" s="507">
        <v>663</v>
      </c>
      <c r="AQ100" s="507">
        <v>357</v>
      </c>
      <c r="AR100" s="508">
        <f t="shared" si="116"/>
        <v>0.67860798362333674</v>
      </c>
      <c r="AS100" s="509">
        <f t="shared" si="117"/>
        <v>0.67860798362333674</v>
      </c>
      <c r="AT100" s="506">
        <v>1295</v>
      </c>
      <c r="AU100" s="507">
        <v>1069</v>
      </c>
      <c r="AV100" s="507">
        <v>1069</v>
      </c>
      <c r="AW100" s="507">
        <v>648</v>
      </c>
      <c r="AX100" s="507">
        <v>332</v>
      </c>
      <c r="AY100" s="508">
        <f t="shared" si="118"/>
        <v>0.60617399438727781</v>
      </c>
      <c r="AZ100" s="509">
        <f t="shared" si="119"/>
        <v>0.60617399438727781</v>
      </c>
      <c r="BA100" s="506">
        <v>1384</v>
      </c>
      <c r="BB100" s="507">
        <v>1149</v>
      </c>
      <c r="BC100" s="507">
        <v>1149</v>
      </c>
      <c r="BD100" s="507">
        <v>768</v>
      </c>
      <c r="BE100" s="507">
        <v>387</v>
      </c>
      <c r="BF100" s="508">
        <f t="shared" si="120"/>
        <v>0.66840731070496084</v>
      </c>
      <c r="BG100" s="509">
        <f t="shared" si="121"/>
        <v>0.66840731070496084</v>
      </c>
      <c r="BH100" s="506">
        <v>1392</v>
      </c>
      <c r="BI100" s="507">
        <v>1143</v>
      </c>
      <c r="BJ100" s="507">
        <v>1143</v>
      </c>
      <c r="BK100" s="507">
        <v>806</v>
      </c>
      <c r="BL100" s="507">
        <v>413</v>
      </c>
      <c r="BM100" s="508">
        <f t="shared" si="122"/>
        <v>0.70516185476815396</v>
      </c>
      <c r="BN100" s="509">
        <f t="shared" si="123"/>
        <v>0.70516185476815396</v>
      </c>
      <c r="BO100" s="506">
        <v>1335</v>
      </c>
      <c r="BP100" s="507">
        <v>1056</v>
      </c>
      <c r="BQ100" s="507">
        <v>1056</v>
      </c>
      <c r="BR100" s="507">
        <v>785</v>
      </c>
      <c r="BS100" s="507">
        <v>405</v>
      </c>
      <c r="BT100" s="508">
        <f t="shared" si="124"/>
        <v>0.74337121212121215</v>
      </c>
      <c r="BU100" s="509">
        <f t="shared" si="125"/>
        <v>0.74337121212121215</v>
      </c>
      <c r="BV100" s="506">
        <v>949</v>
      </c>
      <c r="BW100" s="507">
        <v>833</v>
      </c>
      <c r="BX100" s="507">
        <v>833</v>
      </c>
      <c r="BY100" s="507">
        <v>610</v>
      </c>
      <c r="BZ100" s="507">
        <v>269</v>
      </c>
      <c r="CA100" s="508">
        <f t="shared" si="126"/>
        <v>0.73229291716686673</v>
      </c>
      <c r="CB100" s="509">
        <f t="shared" si="127"/>
        <v>0.73229291716686673</v>
      </c>
      <c r="CC100" s="506">
        <v>916</v>
      </c>
      <c r="CD100" s="507">
        <v>826</v>
      </c>
      <c r="CE100" s="507">
        <v>826</v>
      </c>
      <c r="CF100" s="507">
        <v>488</v>
      </c>
      <c r="CG100" s="507">
        <v>263</v>
      </c>
      <c r="CH100" s="508">
        <f t="shared" si="140"/>
        <v>0.59079903147699753</v>
      </c>
      <c r="CI100" s="509">
        <f t="shared" si="141"/>
        <v>0.59079903147699753</v>
      </c>
      <c r="CJ100" s="506">
        <v>859</v>
      </c>
      <c r="CK100" s="507">
        <v>770</v>
      </c>
      <c r="CL100" s="507">
        <v>769</v>
      </c>
      <c r="CM100" s="507">
        <v>499</v>
      </c>
      <c r="CN100" s="507">
        <v>252</v>
      </c>
      <c r="CO100" s="508">
        <f t="shared" si="142"/>
        <v>0.6480519480519481</v>
      </c>
      <c r="CP100" s="508">
        <f t="shared" si="143"/>
        <v>0.64889466840052012</v>
      </c>
      <c r="CQ100" s="508">
        <v>0.9337662337662338</v>
      </c>
      <c r="CR100" s="509">
        <v>0.93498049414824447</v>
      </c>
      <c r="CS100" s="506">
        <v>882</v>
      </c>
      <c r="CT100" s="507">
        <v>813</v>
      </c>
      <c r="CU100" s="507">
        <v>795</v>
      </c>
      <c r="CV100" s="507">
        <v>629</v>
      </c>
      <c r="CW100" s="507">
        <v>323</v>
      </c>
      <c r="CX100" s="508">
        <f t="shared" si="144"/>
        <v>0.77367773677736773</v>
      </c>
      <c r="CY100" s="508">
        <f t="shared" si="145"/>
        <v>0.79119496855345917</v>
      </c>
      <c r="CZ100" s="508">
        <v>0.947109471094711</v>
      </c>
      <c r="DA100" s="509">
        <v>0.96855345911949686</v>
      </c>
      <c r="DB100" s="506">
        <v>902</v>
      </c>
      <c r="DC100" s="507">
        <v>797</v>
      </c>
      <c r="DD100" s="507">
        <v>797</v>
      </c>
      <c r="DE100" s="507">
        <v>594</v>
      </c>
      <c r="DF100" s="507">
        <v>266</v>
      </c>
      <c r="DG100" s="508">
        <f t="shared" si="146"/>
        <v>0.74529485570890841</v>
      </c>
      <c r="DH100" s="508">
        <f t="shared" si="147"/>
        <v>0.74529485570890841</v>
      </c>
      <c r="DI100" s="508">
        <v>0.96988707653701378</v>
      </c>
      <c r="DJ100" s="509">
        <v>0.96988707653701378</v>
      </c>
      <c r="DK100" s="506">
        <v>969</v>
      </c>
      <c r="DL100" s="507">
        <v>875</v>
      </c>
      <c r="DM100" s="507">
        <v>875</v>
      </c>
      <c r="DN100" s="507">
        <v>672</v>
      </c>
      <c r="DO100" s="507">
        <v>308</v>
      </c>
      <c r="DP100" s="508">
        <f t="shared" si="148"/>
        <v>0.76800000000000002</v>
      </c>
      <c r="DQ100" s="508">
        <f t="shared" si="149"/>
        <v>0.76800000000000002</v>
      </c>
      <c r="DR100" s="508">
        <v>0.97371428571428575</v>
      </c>
      <c r="DS100" s="509">
        <v>0.97371428571428575</v>
      </c>
      <c r="DT100" s="506">
        <v>1133</v>
      </c>
      <c r="DU100" s="507">
        <v>1036</v>
      </c>
      <c r="DV100" s="507">
        <v>1036</v>
      </c>
      <c r="DW100" s="507">
        <v>743</v>
      </c>
      <c r="DX100" s="507">
        <v>337</v>
      </c>
      <c r="DY100" s="508">
        <f t="shared" si="150"/>
        <v>0.71718146718146714</v>
      </c>
      <c r="DZ100" s="508">
        <f t="shared" si="151"/>
        <v>0.71718146718146714</v>
      </c>
      <c r="EA100" s="508">
        <v>0.86776061776061775</v>
      </c>
      <c r="EB100" s="509">
        <v>0.86776061776061775</v>
      </c>
    </row>
    <row r="101" spans="1:132" s="2" customFormat="1" x14ac:dyDescent="0.25">
      <c r="A101" s="503" t="s">
        <v>301</v>
      </c>
      <c r="B101" s="504" t="s">
        <v>309</v>
      </c>
      <c r="C101" s="505" t="s">
        <v>310</v>
      </c>
      <c r="D101" s="506">
        <v>249</v>
      </c>
      <c r="E101" s="507">
        <v>248</v>
      </c>
      <c r="F101" s="507">
        <v>246</v>
      </c>
      <c r="G101" s="507">
        <v>200</v>
      </c>
      <c r="H101" s="507">
        <v>120</v>
      </c>
      <c r="I101" s="508">
        <f t="shared" si="108"/>
        <v>0.80645161290322576</v>
      </c>
      <c r="J101" s="509">
        <f t="shared" si="109"/>
        <v>0.81300813008130079</v>
      </c>
      <c r="K101" s="506">
        <v>227</v>
      </c>
      <c r="L101" s="507">
        <v>225</v>
      </c>
      <c r="M101" s="507">
        <v>225</v>
      </c>
      <c r="N101" s="507">
        <v>190</v>
      </c>
      <c r="O101" s="507">
        <v>113</v>
      </c>
      <c r="P101" s="508">
        <f t="shared" si="110"/>
        <v>0.84444444444444444</v>
      </c>
      <c r="Q101" s="509">
        <f t="shared" si="111"/>
        <v>0.84444444444444444</v>
      </c>
      <c r="R101" s="506">
        <v>349</v>
      </c>
      <c r="S101" s="507">
        <v>341</v>
      </c>
      <c r="T101" s="507">
        <v>341</v>
      </c>
      <c r="U101" s="507">
        <v>211</v>
      </c>
      <c r="V101" s="507">
        <v>149</v>
      </c>
      <c r="W101" s="508">
        <f t="shared" si="106"/>
        <v>0.61876832844574781</v>
      </c>
      <c r="X101" s="509">
        <f t="shared" si="107"/>
        <v>0.61876832844574781</v>
      </c>
      <c r="Y101" s="506">
        <v>379</v>
      </c>
      <c r="Z101" s="507">
        <v>355</v>
      </c>
      <c r="AA101" s="507">
        <v>355</v>
      </c>
      <c r="AB101" s="507">
        <v>250</v>
      </c>
      <c r="AC101" s="507">
        <v>142</v>
      </c>
      <c r="AD101" s="508">
        <f t="shared" si="112"/>
        <v>0.70422535211267601</v>
      </c>
      <c r="AE101" s="509">
        <f t="shared" si="113"/>
        <v>0.70422535211267601</v>
      </c>
      <c r="AF101" s="506">
        <v>347</v>
      </c>
      <c r="AG101" s="507">
        <v>316</v>
      </c>
      <c r="AH101" s="507">
        <v>316</v>
      </c>
      <c r="AI101" s="507">
        <v>244</v>
      </c>
      <c r="AJ101" s="507">
        <v>148</v>
      </c>
      <c r="AK101" s="508">
        <f t="shared" si="114"/>
        <v>0.77215189873417722</v>
      </c>
      <c r="AL101" s="509">
        <f t="shared" si="115"/>
        <v>0.77215189873417722</v>
      </c>
      <c r="AM101" s="506">
        <v>317</v>
      </c>
      <c r="AN101" s="507">
        <v>297</v>
      </c>
      <c r="AO101" s="507">
        <v>297</v>
      </c>
      <c r="AP101" s="507">
        <v>185</v>
      </c>
      <c r="AQ101" s="507">
        <v>104</v>
      </c>
      <c r="AR101" s="508">
        <f t="shared" si="116"/>
        <v>0.62289562289562295</v>
      </c>
      <c r="AS101" s="509">
        <f t="shared" si="117"/>
        <v>0.62289562289562295</v>
      </c>
      <c r="AT101" s="506">
        <v>306</v>
      </c>
      <c r="AU101" s="507">
        <v>282</v>
      </c>
      <c r="AV101" s="507">
        <v>280</v>
      </c>
      <c r="AW101" s="507">
        <v>184</v>
      </c>
      <c r="AX101" s="507">
        <v>114</v>
      </c>
      <c r="AY101" s="508">
        <f t="shared" si="118"/>
        <v>0.65248226950354615</v>
      </c>
      <c r="AZ101" s="509">
        <f t="shared" si="119"/>
        <v>0.65714285714285714</v>
      </c>
      <c r="BA101" s="506">
        <v>341</v>
      </c>
      <c r="BB101" s="507">
        <v>287</v>
      </c>
      <c r="BC101" s="507">
        <v>287</v>
      </c>
      <c r="BD101" s="507">
        <v>222</v>
      </c>
      <c r="BE101" s="507">
        <v>134</v>
      </c>
      <c r="BF101" s="508">
        <f t="shared" si="120"/>
        <v>0.77351916376306618</v>
      </c>
      <c r="BG101" s="509">
        <f t="shared" si="121"/>
        <v>0.77351916376306618</v>
      </c>
      <c r="BH101" s="506">
        <v>436</v>
      </c>
      <c r="BI101" s="507">
        <v>377</v>
      </c>
      <c r="BJ101" s="507">
        <v>377</v>
      </c>
      <c r="BK101" s="507">
        <v>276</v>
      </c>
      <c r="BL101" s="507">
        <v>151</v>
      </c>
      <c r="BM101" s="508">
        <f t="shared" si="122"/>
        <v>0.73209549071618041</v>
      </c>
      <c r="BN101" s="509">
        <f t="shared" si="123"/>
        <v>0.73209549071618041</v>
      </c>
      <c r="BO101" s="506">
        <v>419</v>
      </c>
      <c r="BP101" s="507">
        <v>369</v>
      </c>
      <c r="BQ101" s="507">
        <v>369</v>
      </c>
      <c r="BR101" s="507">
        <v>278</v>
      </c>
      <c r="BS101" s="507">
        <v>168</v>
      </c>
      <c r="BT101" s="508">
        <f t="shared" si="124"/>
        <v>0.75338753387533874</v>
      </c>
      <c r="BU101" s="509">
        <f t="shared" si="125"/>
        <v>0.75338753387533874</v>
      </c>
      <c r="BV101" s="506">
        <v>360</v>
      </c>
      <c r="BW101" s="507">
        <v>313</v>
      </c>
      <c r="BX101" s="507">
        <v>313</v>
      </c>
      <c r="BY101" s="507">
        <v>250</v>
      </c>
      <c r="BZ101" s="507">
        <v>155</v>
      </c>
      <c r="CA101" s="508">
        <f t="shared" si="126"/>
        <v>0.79872204472843455</v>
      </c>
      <c r="CB101" s="509">
        <f t="shared" si="127"/>
        <v>0.79872204472843455</v>
      </c>
      <c r="CC101" s="506">
        <v>453</v>
      </c>
      <c r="CD101" s="507">
        <v>406</v>
      </c>
      <c r="CE101" s="507">
        <v>406</v>
      </c>
      <c r="CF101" s="507">
        <v>278</v>
      </c>
      <c r="CG101" s="507">
        <v>190</v>
      </c>
      <c r="CH101" s="508">
        <f t="shared" si="140"/>
        <v>0.68472906403940892</v>
      </c>
      <c r="CI101" s="509">
        <f t="shared" si="141"/>
        <v>0.68472906403940892</v>
      </c>
      <c r="CJ101" s="506">
        <v>574</v>
      </c>
      <c r="CK101" s="507">
        <v>499</v>
      </c>
      <c r="CL101" s="507">
        <v>499</v>
      </c>
      <c r="CM101" s="507">
        <v>366</v>
      </c>
      <c r="CN101" s="507">
        <v>228</v>
      </c>
      <c r="CO101" s="508">
        <f t="shared" si="142"/>
        <v>0.73346693386773543</v>
      </c>
      <c r="CP101" s="508">
        <f t="shared" si="143"/>
        <v>0.73346693386773543</v>
      </c>
      <c r="CQ101" s="508">
        <v>0.90380761523046094</v>
      </c>
      <c r="CR101" s="509">
        <v>0.90380761523046094</v>
      </c>
      <c r="CS101" s="506">
        <v>570</v>
      </c>
      <c r="CT101" s="507">
        <v>516</v>
      </c>
      <c r="CU101" s="507">
        <v>516</v>
      </c>
      <c r="CV101" s="507">
        <v>398</v>
      </c>
      <c r="CW101" s="507">
        <v>218</v>
      </c>
      <c r="CX101" s="508">
        <f t="shared" si="144"/>
        <v>0.77131782945736438</v>
      </c>
      <c r="CY101" s="508">
        <f t="shared" si="145"/>
        <v>0.77131782945736438</v>
      </c>
      <c r="CZ101" s="508">
        <v>0.88565891472868219</v>
      </c>
      <c r="DA101" s="509">
        <v>0.88565891472868219</v>
      </c>
      <c r="DB101" s="506">
        <v>551</v>
      </c>
      <c r="DC101" s="507">
        <v>497</v>
      </c>
      <c r="DD101" s="507">
        <v>496</v>
      </c>
      <c r="DE101" s="507">
        <v>367</v>
      </c>
      <c r="DF101" s="507">
        <v>202</v>
      </c>
      <c r="DG101" s="508">
        <f t="shared" si="146"/>
        <v>0.73843058350100599</v>
      </c>
      <c r="DH101" s="508">
        <f t="shared" si="147"/>
        <v>0.73991935483870963</v>
      </c>
      <c r="DI101" s="508">
        <v>0.86317907444668007</v>
      </c>
      <c r="DJ101" s="509">
        <v>0.86491935483870963</v>
      </c>
      <c r="DK101" s="506">
        <v>528</v>
      </c>
      <c r="DL101" s="507">
        <v>464</v>
      </c>
      <c r="DM101" s="507">
        <v>463</v>
      </c>
      <c r="DN101" s="507">
        <v>341</v>
      </c>
      <c r="DO101" s="507">
        <v>203</v>
      </c>
      <c r="DP101" s="508">
        <f t="shared" si="148"/>
        <v>0.73491379310344829</v>
      </c>
      <c r="DQ101" s="508">
        <f t="shared" si="149"/>
        <v>0.73650107991360692</v>
      </c>
      <c r="DR101" s="508">
        <v>0.86637931034482762</v>
      </c>
      <c r="DS101" s="509">
        <v>0.86825053995680346</v>
      </c>
      <c r="DT101" s="506">
        <v>496</v>
      </c>
      <c r="DU101" s="507">
        <v>446</v>
      </c>
      <c r="DV101" s="507">
        <v>445</v>
      </c>
      <c r="DW101" s="507">
        <v>323</v>
      </c>
      <c r="DX101" s="507">
        <v>182</v>
      </c>
      <c r="DY101" s="508">
        <f t="shared" si="150"/>
        <v>0.72421524663677128</v>
      </c>
      <c r="DZ101" s="508">
        <f t="shared" si="151"/>
        <v>0.72584269662921352</v>
      </c>
      <c r="EA101" s="508">
        <v>0.81614349775784756</v>
      </c>
      <c r="EB101" s="509">
        <v>0.81797752808988766</v>
      </c>
    </row>
    <row r="102" spans="1:132" s="2" customFormat="1" x14ac:dyDescent="0.25">
      <c r="A102" s="511" t="s">
        <v>301</v>
      </c>
      <c r="B102" s="512" t="s">
        <v>311</v>
      </c>
      <c r="C102" s="532" t="s">
        <v>199</v>
      </c>
      <c r="D102" s="514">
        <v>37</v>
      </c>
      <c r="E102" s="515">
        <v>37</v>
      </c>
      <c r="F102" s="515">
        <v>37</v>
      </c>
      <c r="G102" s="515">
        <v>37</v>
      </c>
      <c r="H102" s="515">
        <v>36</v>
      </c>
      <c r="I102" s="516">
        <f t="shared" si="108"/>
        <v>1</v>
      </c>
      <c r="J102" s="517">
        <f t="shared" si="109"/>
        <v>1</v>
      </c>
      <c r="K102" s="514">
        <v>61</v>
      </c>
      <c r="L102" s="515">
        <v>61</v>
      </c>
      <c r="M102" s="515">
        <v>61</v>
      </c>
      <c r="N102" s="515">
        <v>61</v>
      </c>
      <c r="O102" s="515">
        <v>61</v>
      </c>
      <c r="P102" s="516">
        <f t="shared" si="110"/>
        <v>1</v>
      </c>
      <c r="Q102" s="517">
        <f t="shared" si="111"/>
        <v>1</v>
      </c>
      <c r="R102" s="514">
        <v>47</v>
      </c>
      <c r="S102" s="515">
        <v>47</v>
      </c>
      <c r="T102" s="515">
        <v>47</v>
      </c>
      <c r="U102" s="515">
        <v>47</v>
      </c>
      <c r="V102" s="515">
        <v>46</v>
      </c>
      <c r="W102" s="516">
        <f t="shared" si="106"/>
        <v>1</v>
      </c>
      <c r="X102" s="517">
        <f t="shared" si="107"/>
        <v>1</v>
      </c>
      <c r="Y102" s="514">
        <v>0</v>
      </c>
      <c r="Z102" s="515">
        <v>0</v>
      </c>
      <c r="AA102" s="515">
        <v>0</v>
      </c>
      <c r="AB102" s="515">
        <v>0</v>
      </c>
      <c r="AC102" s="515">
        <v>0</v>
      </c>
      <c r="AD102" s="516" t="s">
        <v>67</v>
      </c>
      <c r="AE102" s="517" t="s">
        <v>67</v>
      </c>
      <c r="AF102" s="514">
        <v>53</v>
      </c>
      <c r="AG102" s="515">
        <v>53</v>
      </c>
      <c r="AH102" s="515">
        <v>53</v>
      </c>
      <c r="AI102" s="515">
        <v>53</v>
      </c>
      <c r="AJ102" s="515">
        <v>52</v>
      </c>
      <c r="AK102" s="516" t="s">
        <v>67</v>
      </c>
      <c r="AL102" s="517" t="s">
        <v>67</v>
      </c>
      <c r="AM102" s="514">
        <v>43</v>
      </c>
      <c r="AN102" s="515">
        <v>43</v>
      </c>
      <c r="AO102" s="515">
        <v>43</v>
      </c>
      <c r="AP102" s="515">
        <v>43</v>
      </c>
      <c r="AQ102" s="515">
        <v>40</v>
      </c>
      <c r="AR102" s="516" t="s">
        <v>67</v>
      </c>
      <c r="AS102" s="517" t="s">
        <v>67</v>
      </c>
      <c r="AT102" s="514">
        <v>47</v>
      </c>
      <c r="AU102" s="515">
        <v>47</v>
      </c>
      <c r="AV102" s="515">
        <v>47</v>
      </c>
      <c r="AW102" s="515">
        <v>47</v>
      </c>
      <c r="AX102" s="515">
        <v>44</v>
      </c>
      <c r="AY102" s="516">
        <f t="shared" ref="AY102" si="152">AW102/AU102</f>
        <v>1</v>
      </c>
      <c r="AZ102" s="517">
        <f t="shared" ref="AZ102" si="153">AW102/AV102</f>
        <v>1</v>
      </c>
      <c r="BA102" s="514">
        <v>55</v>
      </c>
      <c r="BB102" s="515">
        <v>55</v>
      </c>
      <c r="BC102" s="515">
        <v>55</v>
      </c>
      <c r="BD102" s="515">
        <v>45</v>
      </c>
      <c r="BE102" s="515">
        <v>42</v>
      </c>
      <c r="BF102" s="516">
        <f t="shared" ref="BF102" si="154">BD102/BB102</f>
        <v>0.81818181818181823</v>
      </c>
      <c r="BG102" s="517">
        <f t="shared" ref="BG102" si="155">BD102/BC102</f>
        <v>0.81818181818181823</v>
      </c>
      <c r="BH102" s="514">
        <v>38</v>
      </c>
      <c r="BI102" s="515">
        <v>38</v>
      </c>
      <c r="BJ102" s="515">
        <v>38</v>
      </c>
      <c r="BK102" s="515">
        <v>38</v>
      </c>
      <c r="BL102" s="515">
        <v>37</v>
      </c>
      <c r="BM102" s="516">
        <f t="shared" si="122"/>
        <v>1</v>
      </c>
      <c r="BN102" s="517">
        <f t="shared" si="123"/>
        <v>1</v>
      </c>
      <c r="BO102" s="514">
        <v>30</v>
      </c>
      <c r="BP102" s="515">
        <v>30</v>
      </c>
      <c r="BQ102" s="515">
        <v>30</v>
      </c>
      <c r="BR102" s="515">
        <v>30</v>
      </c>
      <c r="BS102" s="515">
        <v>28</v>
      </c>
      <c r="BT102" s="516">
        <f t="shared" si="124"/>
        <v>1</v>
      </c>
      <c r="BU102" s="517">
        <f t="shared" si="125"/>
        <v>1</v>
      </c>
      <c r="BV102" s="514" t="s">
        <v>67</v>
      </c>
      <c r="BW102" s="515" t="s">
        <v>67</v>
      </c>
      <c r="BX102" s="515" t="s">
        <v>67</v>
      </c>
      <c r="BY102" s="515" t="s">
        <v>67</v>
      </c>
      <c r="BZ102" s="515" t="s">
        <v>67</v>
      </c>
      <c r="CA102" s="516" t="s">
        <v>67</v>
      </c>
      <c r="CB102" s="517" t="s">
        <v>67</v>
      </c>
      <c r="CC102" s="514">
        <v>126</v>
      </c>
      <c r="CD102" s="515">
        <v>126</v>
      </c>
      <c r="CE102" s="515">
        <v>126</v>
      </c>
      <c r="CF102" s="515">
        <v>108</v>
      </c>
      <c r="CG102" s="515">
        <v>85</v>
      </c>
      <c r="CH102" s="516">
        <f t="shared" ref="CH102" si="156">CF102/CD102</f>
        <v>0.8571428571428571</v>
      </c>
      <c r="CI102" s="517">
        <f t="shared" ref="CI102" si="157">CF102/CE102</f>
        <v>0.8571428571428571</v>
      </c>
      <c r="CJ102" s="514">
        <v>199</v>
      </c>
      <c r="CK102" s="515">
        <v>199</v>
      </c>
      <c r="CL102" s="515">
        <v>165</v>
      </c>
      <c r="CM102" s="515">
        <v>109</v>
      </c>
      <c r="CN102" s="515">
        <v>69</v>
      </c>
      <c r="CO102" s="516">
        <f t="shared" si="142"/>
        <v>0.54773869346733672</v>
      </c>
      <c r="CP102" s="516">
        <f t="shared" si="143"/>
        <v>0.66060606060606064</v>
      </c>
      <c r="CQ102" s="516">
        <v>0.82412060301507539</v>
      </c>
      <c r="CR102" s="517">
        <v>0.9939393939393939</v>
      </c>
      <c r="CS102" s="514">
        <v>329</v>
      </c>
      <c r="CT102" s="515">
        <v>329</v>
      </c>
      <c r="CU102" s="515">
        <v>295</v>
      </c>
      <c r="CV102" s="515">
        <v>172</v>
      </c>
      <c r="CW102" s="515">
        <v>118</v>
      </c>
      <c r="CX102" s="516">
        <f t="shared" si="144"/>
        <v>0.52279635258358659</v>
      </c>
      <c r="CY102" s="516">
        <f t="shared" si="145"/>
        <v>0.58305084745762714</v>
      </c>
      <c r="CZ102" s="516">
        <v>0.8571428571428571</v>
      </c>
      <c r="DA102" s="517">
        <v>0.95593220338983054</v>
      </c>
      <c r="DB102" s="514">
        <v>273</v>
      </c>
      <c r="DC102" s="515">
        <v>273</v>
      </c>
      <c r="DD102" s="515">
        <v>220</v>
      </c>
      <c r="DE102" s="515">
        <v>152</v>
      </c>
      <c r="DF102" s="515">
        <v>78</v>
      </c>
      <c r="DG102" s="516">
        <f t="shared" si="146"/>
        <v>0.5567765567765568</v>
      </c>
      <c r="DH102" s="516">
        <f t="shared" si="147"/>
        <v>0.69090909090909092</v>
      </c>
      <c r="DI102" s="516">
        <v>0.69963369963369959</v>
      </c>
      <c r="DJ102" s="517">
        <v>0.86818181818181817</v>
      </c>
      <c r="DK102" s="514">
        <v>224</v>
      </c>
      <c r="DL102" s="515">
        <v>224</v>
      </c>
      <c r="DM102" s="515">
        <v>195</v>
      </c>
      <c r="DN102" s="515">
        <v>100</v>
      </c>
      <c r="DO102" s="515">
        <v>57</v>
      </c>
      <c r="DP102" s="516">
        <f t="shared" si="148"/>
        <v>0.44642857142857145</v>
      </c>
      <c r="DQ102" s="516">
        <f t="shared" si="149"/>
        <v>0.51282051282051277</v>
      </c>
      <c r="DR102" s="516">
        <v>0.5267857142857143</v>
      </c>
      <c r="DS102" s="517">
        <v>0.60512820512820509</v>
      </c>
      <c r="DT102" s="514">
        <v>260</v>
      </c>
      <c r="DU102" s="515">
        <v>260</v>
      </c>
      <c r="DV102" s="515">
        <v>194</v>
      </c>
      <c r="DW102" s="515">
        <v>125</v>
      </c>
      <c r="DX102" s="515">
        <v>74</v>
      </c>
      <c r="DY102" s="516">
        <f t="shared" si="150"/>
        <v>0.48076923076923078</v>
      </c>
      <c r="DZ102" s="516">
        <f t="shared" si="151"/>
        <v>0.64432989690721654</v>
      </c>
      <c r="EA102" s="516">
        <v>0.5461538461538461</v>
      </c>
      <c r="EB102" s="517">
        <v>0.73195876288659789</v>
      </c>
    </row>
    <row r="103" spans="1:132" s="2" customFormat="1" x14ac:dyDescent="0.25">
      <c r="A103" s="533" t="s">
        <v>312</v>
      </c>
      <c r="B103" s="489" t="s">
        <v>313</v>
      </c>
      <c r="C103" s="565"/>
      <c r="D103" s="558">
        <v>21227</v>
      </c>
      <c r="E103" s="559">
        <v>13473</v>
      </c>
      <c r="F103" s="559">
        <v>11387</v>
      </c>
      <c r="G103" s="559">
        <v>7098</v>
      </c>
      <c r="H103" s="560">
        <v>5489</v>
      </c>
      <c r="I103" s="561">
        <f t="shared" si="108"/>
        <v>0.52683144065909593</v>
      </c>
      <c r="J103" s="562">
        <f t="shared" si="109"/>
        <v>0.62334240800913321</v>
      </c>
      <c r="K103" s="558">
        <v>19251</v>
      </c>
      <c r="L103" s="559">
        <v>12172</v>
      </c>
      <c r="M103" s="559">
        <v>10496</v>
      </c>
      <c r="N103" s="559">
        <v>6186</v>
      </c>
      <c r="O103" s="560">
        <v>4859</v>
      </c>
      <c r="P103" s="561">
        <f t="shared" si="110"/>
        <v>0.50821557673348672</v>
      </c>
      <c r="Q103" s="562">
        <f t="shared" si="111"/>
        <v>0.58936737804878048</v>
      </c>
      <c r="R103" s="558">
        <v>17994</v>
      </c>
      <c r="S103" s="559">
        <v>11575</v>
      </c>
      <c r="T103" s="559">
        <v>10085</v>
      </c>
      <c r="U103" s="559">
        <v>6035</v>
      </c>
      <c r="V103" s="560">
        <v>5213</v>
      </c>
      <c r="W103" s="561">
        <f t="shared" si="106"/>
        <v>0.52138228941684661</v>
      </c>
      <c r="X103" s="562">
        <f t="shared" si="107"/>
        <v>0.59841348537431827</v>
      </c>
      <c r="Y103" s="558">
        <v>15111</v>
      </c>
      <c r="Z103" s="559">
        <v>9652</v>
      </c>
      <c r="AA103" s="559">
        <v>8327</v>
      </c>
      <c r="AB103" s="559">
        <v>5753</v>
      </c>
      <c r="AC103" s="560">
        <v>4803</v>
      </c>
      <c r="AD103" s="561">
        <f t="shared" si="112"/>
        <v>0.59604227103191043</v>
      </c>
      <c r="AE103" s="562">
        <f t="shared" si="113"/>
        <v>0.69088507265521792</v>
      </c>
      <c r="AF103" s="558">
        <v>14853</v>
      </c>
      <c r="AG103" s="559">
        <v>9449</v>
      </c>
      <c r="AH103" s="559">
        <v>8111</v>
      </c>
      <c r="AI103" s="559">
        <v>4945</v>
      </c>
      <c r="AJ103" s="560">
        <v>4321</v>
      </c>
      <c r="AK103" s="561">
        <f t="shared" ref="AK103:AK108" si="158">AI103/AG103</f>
        <v>0.52333580273044766</v>
      </c>
      <c r="AL103" s="562">
        <f t="shared" ref="AL103:AL108" si="159">AI103/AH103</f>
        <v>0.60966588583405257</v>
      </c>
      <c r="AM103" s="558">
        <v>13137</v>
      </c>
      <c r="AN103" s="559">
        <v>8886</v>
      </c>
      <c r="AO103" s="559">
        <v>7601</v>
      </c>
      <c r="AP103" s="559">
        <v>4724</v>
      </c>
      <c r="AQ103" s="560">
        <v>3854</v>
      </c>
      <c r="AR103" s="561">
        <f t="shared" ref="AR103:AR112" si="160">AP103/AN103</f>
        <v>0.53162277740265584</v>
      </c>
      <c r="AS103" s="562">
        <f t="shared" ref="AS103:AS112" si="161">AP103/AO103</f>
        <v>0.62149717142481253</v>
      </c>
      <c r="AT103" s="558">
        <v>11959</v>
      </c>
      <c r="AU103" s="559">
        <v>8009</v>
      </c>
      <c r="AV103" s="559">
        <v>7023</v>
      </c>
      <c r="AW103" s="559">
        <v>4422</v>
      </c>
      <c r="AX103" s="560">
        <v>3565</v>
      </c>
      <c r="AY103" s="561">
        <f t="shared" ref="AY103:AY112" si="162">AW103/AU103</f>
        <v>0.55212885503808218</v>
      </c>
      <c r="AZ103" s="562">
        <f t="shared" ref="AZ103:AZ112" si="163">AW103/AV103</f>
        <v>0.6296454506621102</v>
      </c>
      <c r="BA103" s="558">
        <v>11091</v>
      </c>
      <c r="BB103" s="559">
        <v>7665</v>
      </c>
      <c r="BC103" s="559">
        <v>6530</v>
      </c>
      <c r="BD103" s="559">
        <v>4011</v>
      </c>
      <c r="BE103" s="560">
        <v>3326</v>
      </c>
      <c r="BF103" s="561">
        <f t="shared" ref="BF103:BF112" si="164">BD103/BB103</f>
        <v>0.52328767123287667</v>
      </c>
      <c r="BG103" s="562">
        <f t="shared" ref="BG103:BG112" si="165">BD103/BC103</f>
        <v>0.6142419601837672</v>
      </c>
      <c r="BH103" s="558">
        <v>10157</v>
      </c>
      <c r="BI103" s="559">
        <v>7087</v>
      </c>
      <c r="BJ103" s="559">
        <v>6323</v>
      </c>
      <c r="BK103" s="559">
        <v>4669</v>
      </c>
      <c r="BL103" s="560">
        <v>3539</v>
      </c>
      <c r="BM103" s="561">
        <f t="shared" si="122"/>
        <v>0.6588119091293918</v>
      </c>
      <c r="BN103" s="562">
        <f t="shared" si="123"/>
        <v>0.73841530918867626</v>
      </c>
      <c r="BO103" s="558">
        <v>9118</v>
      </c>
      <c r="BP103" s="559">
        <v>6574</v>
      </c>
      <c r="BQ103" s="559">
        <v>5889</v>
      </c>
      <c r="BR103" s="559">
        <v>4470</v>
      </c>
      <c r="BS103" s="560">
        <v>3420</v>
      </c>
      <c r="BT103" s="561">
        <f t="shared" si="124"/>
        <v>0.67995132339519315</v>
      </c>
      <c r="BU103" s="562">
        <f t="shared" si="125"/>
        <v>0.75904228222109016</v>
      </c>
      <c r="BV103" s="558">
        <v>10251</v>
      </c>
      <c r="BW103" s="559">
        <v>7176</v>
      </c>
      <c r="BX103" s="559">
        <v>6505</v>
      </c>
      <c r="BY103" s="559">
        <v>4887</v>
      </c>
      <c r="BZ103" s="560">
        <v>3794</v>
      </c>
      <c r="CA103" s="561">
        <f t="shared" si="126"/>
        <v>0.68102006688963213</v>
      </c>
      <c r="CB103" s="562">
        <f t="shared" si="127"/>
        <v>0.75126825518831664</v>
      </c>
      <c r="CC103" s="558">
        <v>10323</v>
      </c>
      <c r="CD103" s="559">
        <v>7240</v>
      </c>
      <c r="CE103" s="559">
        <v>6618</v>
      </c>
      <c r="CF103" s="559">
        <v>4802</v>
      </c>
      <c r="CG103" s="560">
        <v>3658</v>
      </c>
      <c r="CH103" s="561">
        <f t="shared" ref="CH103:CH112" si="166">CF103/CD103</f>
        <v>0.66325966850828733</v>
      </c>
      <c r="CI103" s="562">
        <f t="shared" ref="CI103:CI112" si="167">CF103/CE103</f>
        <v>0.72559685705651256</v>
      </c>
      <c r="CJ103" s="558">
        <v>11187</v>
      </c>
      <c r="CK103" s="559">
        <v>7633</v>
      </c>
      <c r="CL103" s="559">
        <v>7056</v>
      </c>
      <c r="CM103" s="559">
        <v>4501</v>
      </c>
      <c r="CN103" s="560">
        <v>3527</v>
      </c>
      <c r="CO103" s="561">
        <f t="shared" ref="CO103:CO112" si="168">CM103/CK103</f>
        <v>0.58967640508319141</v>
      </c>
      <c r="CP103" s="664">
        <f t="shared" ref="CP103:CP112" si="169">CM103/CL103</f>
        <v>0.63789682539682535</v>
      </c>
      <c r="CQ103" s="561">
        <v>0.58967640508319141</v>
      </c>
      <c r="CR103" s="562">
        <v>0.63789682539682535</v>
      </c>
      <c r="CS103" s="558">
        <v>11695</v>
      </c>
      <c r="CT103" s="559">
        <v>7875</v>
      </c>
      <c r="CU103" s="559">
        <v>7137</v>
      </c>
      <c r="CV103" s="559">
        <v>4648</v>
      </c>
      <c r="CW103" s="560">
        <v>3513</v>
      </c>
      <c r="CX103" s="561">
        <f t="shared" si="144"/>
        <v>0.5902222222222222</v>
      </c>
      <c r="CY103" s="664">
        <f t="shared" si="145"/>
        <v>0.65125402830320867</v>
      </c>
      <c r="CZ103" s="561">
        <v>0.5902222222222222</v>
      </c>
      <c r="DA103" s="562">
        <v>0.65125402830320867</v>
      </c>
      <c r="DB103" s="558">
        <v>12122</v>
      </c>
      <c r="DC103" s="559">
        <v>8009</v>
      </c>
      <c r="DD103" s="559">
        <v>7340</v>
      </c>
      <c r="DE103" s="559">
        <v>4729</v>
      </c>
      <c r="DF103" s="560">
        <v>3673</v>
      </c>
      <c r="DG103" s="561">
        <f t="shared" si="146"/>
        <v>0.59046073167686353</v>
      </c>
      <c r="DH103" s="664">
        <f t="shared" si="147"/>
        <v>0.64427792915531334</v>
      </c>
      <c r="DI103" s="561">
        <v>0.59046073167686353</v>
      </c>
      <c r="DJ103" s="562">
        <v>0.64427792915531334</v>
      </c>
      <c r="DK103" s="558">
        <v>12605</v>
      </c>
      <c r="DL103" s="559">
        <v>8401</v>
      </c>
      <c r="DM103" s="559">
        <v>7526</v>
      </c>
      <c r="DN103" s="559">
        <v>5236</v>
      </c>
      <c r="DO103" s="560">
        <v>3947</v>
      </c>
      <c r="DP103" s="561">
        <f t="shared" si="148"/>
        <v>0.62325913581716463</v>
      </c>
      <c r="DQ103" s="664">
        <f t="shared" si="149"/>
        <v>0.69572149880414558</v>
      </c>
      <c r="DR103" s="561">
        <v>0.65849303654326863</v>
      </c>
      <c r="DS103" s="562">
        <v>0.73505182035609884</v>
      </c>
      <c r="DT103" s="558">
        <v>14148</v>
      </c>
      <c r="DU103" s="559">
        <v>9177</v>
      </c>
      <c r="DV103" s="559">
        <v>8195</v>
      </c>
      <c r="DW103" s="559">
        <v>5256</v>
      </c>
      <c r="DX103" s="560">
        <v>4113</v>
      </c>
      <c r="DY103" s="561">
        <f t="shared" si="150"/>
        <v>0.57273618829682904</v>
      </c>
      <c r="DZ103" s="664">
        <f t="shared" si="151"/>
        <v>0.64136668700427091</v>
      </c>
      <c r="EA103" s="561">
        <v>0.65860302931241144</v>
      </c>
      <c r="EB103" s="562">
        <v>0.73752287980475895</v>
      </c>
    </row>
    <row r="104" spans="1:132" s="2" customFormat="1" x14ac:dyDescent="0.25">
      <c r="A104" s="554" t="s">
        <v>312</v>
      </c>
      <c r="B104" s="555" t="s">
        <v>314</v>
      </c>
      <c r="C104" s="556" t="s">
        <v>287</v>
      </c>
      <c r="D104" s="499">
        <v>1099</v>
      </c>
      <c r="E104" s="500">
        <v>1068</v>
      </c>
      <c r="F104" s="500">
        <v>888</v>
      </c>
      <c r="G104" s="500">
        <v>851</v>
      </c>
      <c r="H104" s="500">
        <v>690</v>
      </c>
      <c r="I104" s="501">
        <f t="shared" si="108"/>
        <v>0.79681647940074907</v>
      </c>
      <c r="J104" s="502">
        <f t="shared" si="109"/>
        <v>0.95833333333333337</v>
      </c>
      <c r="K104" s="499">
        <v>929</v>
      </c>
      <c r="L104" s="500">
        <v>889</v>
      </c>
      <c r="M104" s="500">
        <v>743</v>
      </c>
      <c r="N104" s="500">
        <v>704</v>
      </c>
      <c r="O104" s="500">
        <v>590</v>
      </c>
      <c r="P104" s="501">
        <f t="shared" si="110"/>
        <v>0.79190101237345334</v>
      </c>
      <c r="Q104" s="502">
        <f t="shared" si="111"/>
        <v>0.94751009421265142</v>
      </c>
      <c r="R104" s="499">
        <v>1010</v>
      </c>
      <c r="S104" s="500">
        <v>977</v>
      </c>
      <c r="T104" s="500">
        <v>786</v>
      </c>
      <c r="U104" s="500">
        <v>751</v>
      </c>
      <c r="V104" s="500">
        <v>649</v>
      </c>
      <c r="W104" s="501">
        <f t="shared" si="106"/>
        <v>0.76867963152507679</v>
      </c>
      <c r="X104" s="502">
        <f t="shared" si="107"/>
        <v>0.95547073791348602</v>
      </c>
      <c r="Y104" s="499">
        <v>1031</v>
      </c>
      <c r="Z104" s="500">
        <v>1001</v>
      </c>
      <c r="AA104" s="500">
        <v>823</v>
      </c>
      <c r="AB104" s="500">
        <v>745</v>
      </c>
      <c r="AC104" s="500">
        <v>645</v>
      </c>
      <c r="AD104" s="501">
        <f t="shared" si="112"/>
        <v>0.74425574425574426</v>
      </c>
      <c r="AE104" s="502">
        <f t="shared" si="113"/>
        <v>0.90522478736330503</v>
      </c>
      <c r="AF104" s="499">
        <v>899</v>
      </c>
      <c r="AG104" s="500">
        <v>890</v>
      </c>
      <c r="AH104" s="500">
        <v>685</v>
      </c>
      <c r="AI104" s="500">
        <v>649</v>
      </c>
      <c r="AJ104" s="500">
        <v>571</v>
      </c>
      <c r="AK104" s="501">
        <f t="shared" si="158"/>
        <v>0.72921348314606738</v>
      </c>
      <c r="AL104" s="502">
        <f t="shared" si="159"/>
        <v>0.94744525547445257</v>
      </c>
      <c r="AM104" s="499">
        <v>884</v>
      </c>
      <c r="AN104" s="500">
        <v>879</v>
      </c>
      <c r="AO104" s="500">
        <v>665</v>
      </c>
      <c r="AP104" s="500">
        <v>627</v>
      </c>
      <c r="AQ104" s="500">
        <v>544</v>
      </c>
      <c r="AR104" s="501">
        <f t="shared" si="160"/>
        <v>0.71331058020477811</v>
      </c>
      <c r="AS104" s="502">
        <f t="shared" si="161"/>
        <v>0.94285714285714284</v>
      </c>
      <c r="AT104" s="499">
        <v>796</v>
      </c>
      <c r="AU104" s="500">
        <v>790</v>
      </c>
      <c r="AV104" s="500">
        <v>569</v>
      </c>
      <c r="AW104" s="500">
        <v>544</v>
      </c>
      <c r="AX104" s="500">
        <v>475</v>
      </c>
      <c r="AY104" s="501">
        <f t="shared" si="162"/>
        <v>0.68860759493670887</v>
      </c>
      <c r="AZ104" s="502">
        <f t="shared" si="163"/>
        <v>0.95606326889279436</v>
      </c>
      <c r="BA104" s="499">
        <v>662</v>
      </c>
      <c r="BB104" s="500">
        <v>648</v>
      </c>
      <c r="BC104" s="500">
        <v>526</v>
      </c>
      <c r="BD104" s="500">
        <v>477</v>
      </c>
      <c r="BE104" s="500">
        <v>396</v>
      </c>
      <c r="BF104" s="501">
        <f t="shared" si="164"/>
        <v>0.73611111111111116</v>
      </c>
      <c r="BG104" s="502">
        <f t="shared" si="165"/>
        <v>0.90684410646387836</v>
      </c>
      <c r="BH104" s="499">
        <v>620</v>
      </c>
      <c r="BI104" s="500">
        <v>610</v>
      </c>
      <c r="BJ104" s="500">
        <v>510</v>
      </c>
      <c r="BK104" s="500">
        <v>495</v>
      </c>
      <c r="BL104" s="500">
        <v>407</v>
      </c>
      <c r="BM104" s="501">
        <f t="shared" si="122"/>
        <v>0.81147540983606559</v>
      </c>
      <c r="BN104" s="502">
        <f t="shared" si="123"/>
        <v>0.97058823529411764</v>
      </c>
      <c r="BO104" s="499">
        <v>597</v>
      </c>
      <c r="BP104" s="500">
        <v>561</v>
      </c>
      <c r="BQ104" s="500">
        <v>510</v>
      </c>
      <c r="BR104" s="500">
        <v>435</v>
      </c>
      <c r="BS104" s="500">
        <v>388</v>
      </c>
      <c r="BT104" s="501">
        <f t="shared" si="124"/>
        <v>0.77540106951871657</v>
      </c>
      <c r="BU104" s="502">
        <f t="shared" si="125"/>
        <v>0.8529411764705882</v>
      </c>
      <c r="BV104" s="499">
        <v>682</v>
      </c>
      <c r="BW104" s="500">
        <v>637</v>
      </c>
      <c r="BX104" s="500">
        <v>611</v>
      </c>
      <c r="BY104" s="500">
        <v>487</v>
      </c>
      <c r="BZ104" s="500">
        <v>427</v>
      </c>
      <c r="CA104" s="501">
        <f t="shared" si="126"/>
        <v>0.76452119309262168</v>
      </c>
      <c r="CB104" s="502">
        <f t="shared" si="127"/>
        <v>0.79705400981996721</v>
      </c>
      <c r="CC104" s="499">
        <v>586</v>
      </c>
      <c r="CD104" s="500">
        <v>539</v>
      </c>
      <c r="CE104" s="500">
        <v>526</v>
      </c>
      <c r="CF104" s="500">
        <v>494</v>
      </c>
      <c r="CG104" s="500">
        <v>352</v>
      </c>
      <c r="CH104" s="501">
        <f t="shared" si="166"/>
        <v>0.91651205936920221</v>
      </c>
      <c r="CI104" s="502">
        <f t="shared" si="167"/>
        <v>0.93916349809885935</v>
      </c>
      <c r="CJ104" s="499">
        <v>530</v>
      </c>
      <c r="CK104" s="500">
        <v>482</v>
      </c>
      <c r="CL104" s="500">
        <v>480</v>
      </c>
      <c r="CM104" s="500">
        <v>463</v>
      </c>
      <c r="CN104" s="500">
        <v>325</v>
      </c>
      <c r="CO104" s="501">
        <f t="shared" si="168"/>
        <v>0.96058091286307057</v>
      </c>
      <c r="CP104" s="501">
        <f t="shared" si="169"/>
        <v>0.96458333333333335</v>
      </c>
      <c r="CQ104" s="501">
        <v>0.96058091286307057</v>
      </c>
      <c r="CR104" s="502">
        <v>0.96458333333333335</v>
      </c>
      <c r="CS104" s="499">
        <v>546</v>
      </c>
      <c r="CT104" s="500">
        <v>504</v>
      </c>
      <c r="CU104" s="500">
        <v>491</v>
      </c>
      <c r="CV104" s="500">
        <v>413</v>
      </c>
      <c r="CW104" s="500">
        <v>329</v>
      </c>
      <c r="CX104" s="501">
        <f t="shared" si="144"/>
        <v>0.81944444444444442</v>
      </c>
      <c r="CY104" s="501">
        <f t="shared" si="145"/>
        <v>0.84114052953156826</v>
      </c>
      <c r="CZ104" s="501">
        <v>0.81944444444444442</v>
      </c>
      <c r="DA104" s="502">
        <v>0.84114052953156826</v>
      </c>
      <c r="DB104" s="499">
        <v>507</v>
      </c>
      <c r="DC104" s="500">
        <v>466</v>
      </c>
      <c r="DD104" s="500">
        <v>458</v>
      </c>
      <c r="DE104" s="500">
        <v>369</v>
      </c>
      <c r="DF104" s="500">
        <v>299</v>
      </c>
      <c r="DG104" s="501">
        <f t="shared" si="146"/>
        <v>0.79184549356223177</v>
      </c>
      <c r="DH104" s="501">
        <f t="shared" si="147"/>
        <v>0.80567685589519655</v>
      </c>
      <c r="DI104" s="501">
        <v>0.79184549356223177</v>
      </c>
      <c r="DJ104" s="502">
        <v>0.80567685589519655</v>
      </c>
      <c r="DK104" s="499">
        <v>445</v>
      </c>
      <c r="DL104" s="500">
        <v>405</v>
      </c>
      <c r="DM104" s="500">
        <v>392</v>
      </c>
      <c r="DN104" s="500">
        <v>336</v>
      </c>
      <c r="DO104" s="500">
        <v>272</v>
      </c>
      <c r="DP104" s="501">
        <f t="shared" si="148"/>
        <v>0.82962962962962961</v>
      </c>
      <c r="DQ104" s="501">
        <f t="shared" si="149"/>
        <v>0.8571428571428571</v>
      </c>
      <c r="DR104" s="501">
        <v>0.82962962962962961</v>
      </c>
      <c r="DS104" s="502">
        <v>0.8571428571428571</v>
      </c>
      <c r="DT104" s="499">
        <v>467</v>
      </c>
      <c r="DU104" s="500">
        <v>428</v>
      </c>
      <c r="DV104" s="500">
        <v>416</v>
      </c>
      <c r="DW104" s="500">
        <v>342</v>
      </c>
      <c r="DX104" s="500">
        <v>276</v>
      </c>
      <c r="DY104" s="501">
        <f t="shared" si="150"/>
        <v>0.7990654205607477</v>
      </c>
      <c r="DZ104" s="501">
        <f t="shared" si="151"/>
        <v>0.82211538461538458</v>
      </c>
      <c r="EA104" s="501">
        <v>0.93691588785046731</v>
      </c>
      <c r="EB104" s="502">
        <v>0.96394230769230771</v>
      </c>
    </row>
    <row r="105" spans="1:132" s="2" customFormat="1" x14ac:dyDescent="0.25">
      <c r="A105" s="503" t="s">
        <v>312</v>
      </c>
      <c r="B105" s="504" t="s">
        <v>315</v>
      </c>
      <c r="C105" s="505" t="s">
        <v>289</v>
      </c>
      <c r="D105" s="506">
        <v>1490</v>
      </c>
      <c r="E105" s="507">
        <v>952</v>
      </c>
      <c r="F105" s="507">
        <v>727</v>
      </c>
      <c r="G105" s="507">
        <v>672</v>
      </c>
      <c r="H105" s="507">
        <v>653</v>
      </c>
      <c r="I105" s="508">
        <f t="shared" si="108"/>
        <v>0.70588235294117652</v>
      </c>
      <c r="J105" s="509">
        <f t="shared" si="109"/>
        <v>0.92434662998624484</v>
      </c>
      <c r="K105" s="506">
        <v>1839</v>
      </c>
      <c r="L105" s="507">
        <v>1125</v>
      </c>
      <c r="M105" s="507">
        <v>950</v>
      </c>
      <c r="N105" s="507">
        <v>825</v>
      </c>
      <c r="O105" s="507">
        <v>771</v>
      </c>
      <c r="P105" s="508">
        <f t="shared" si="110"/>
        <v>0.73333333333333328</v>
      </c>
      <c r="Q105" s="509">
        <f t="shared" si="111"/>
        <v>0.86842105263157898</v>
      </c>
      <c r="R105" s="506">
        <v>1329</v>
      </c>
      <c r="S105" s="507">
        <v>911</v>
      </c>
      <c r="T105" s="507">
        <v>707</v>
      </c>
      <c r="U105" s="507">
        <v>680</v>
      </c>
      <c r="V105" s="507">
        <v>658</v>
      </c>
      <c r="W105" s="508">
        <f t="shared" si="106"/>
        <v>0.74643249176728865</v>
      </c>
      <c r="X105" s="509">
        <f t="shared" si="107"/>
        <v>0.96181046676096182</v>
      </c>
      <c r="Y105" s="506">
        <v>1272</v>
      </c>
      <c r="Z105" s="507">
        <v>892</v>
      </c>
      <c r="AA105" s="507">
        <v>730</v>
      </c>
      <c r="AB105" s="507">
        <v>642</v>
      </c>
      <c r="AC105" s="507">
        <v>637</v>
      </c>
      <c r="AD105" s="508">
        <f t="shared" si="112"/>
        <v>0.71973094170403584</v>
      </c>
      <c r="AE105" s="509">
        <f t="shared" si="113"/>
        <v>0.8794520547945206</v>
      </c>
      <c r="AF105" s="506">
        <v>1348</v>
      </c>
      <c r="AG105" s="507">
        <v>889</v>
      </c>
      <c r="AH105" s="507">
        <v>743</v>
      </c>
      <c r="AI105" s="507">
        <v>658</v>
      </c>
      <c r="AJ105" s="507">
        <v>642</v>
      </c>
      <c r="AK105" s="508">
        <f t="shared" si="158"/>
        <v>0.74015748031496065</v>
      </c>
      <c r="AL105" s="509">
        <f t="shared" si="159"/>
        <v>0.88559892328398382</v>
      </c>
      <c r="AM105" s="506">
        <v>1009</v>
      </c>
      <c r="AN105" s="507">
        <v>680</v>
      </c>
      <c r="AO105" s="507">
        <v>533</v>
      </c>
      <c r="AP105" s="507">
        <v>449</v>
      </c>
      <c r="AQ105" s="507">
        <v>429</v>
      </c>
      <c r="AR105" s="508">
        <f t="shared" si="160"/>
        <v>0.66029411764705881</v>
      </c>
      <c r="AS105" s="509">
        <f t="shared" si="161"/>
        <v>0.8424015009380863</v>
      </c>
      <c r="AT105" s="506">
        <v>764</v>
      </c>
      <c r="AU105" s="507">
        <v>547</v>
      </c>
      <c r="AV105" s="507">
        <v>427</v>
      </c>
      <c r="AW105" s="507">
        <v>366</v>
      </c>
      <c r="AX105" s="507">
        <v>360</v>
      </c>
      <c r="AY105" s="508">
        <f t="shared" si="162"/>
        <v>0.66910420475319932</v>
      </c>
      <c r="AZ105" s="509">
        <f t="shared" si="163"/>
        <v>0.8571428571428571</v>
      </c>
      <c r="BA105" s="506">
        <v>671</v>
      </c>
      <c r="BB105" s="507">
        <v>450</v>
      </c>
      <c r="BC105" s="507">
        <v>305</v>
      </c>
      <c r="BD105" s="507">
        <v>251</v>
      </c>
      <c r="BE105" s="507">
        <v>244</v>
      </c>
      <c r="BF105" s="508">
        <f t="shared" si="164"/>
        <v>0.55777777777777782</v>
      </c>
      <c r="BG105" s="509">
        <f t="shared" si="165"/>
        <v>0.82295081967213113</v>
      </c>
      <c r="BH105" s="506">
        <v>702</v>
      </c>
      <c r="BI105" s="507">
        <v>466</v>
      </c>
      <c r="BJ105" s="507">
        <v>332</v>
      </c>
      <c r="BK105" s="507">
        <v>297</v>
      </c>
      <c r="BL105" s="507">
        <v>285</v>
      </c>
      <c r="BM105" s="508">
        <f t="shared" si="122"/>
        <v>0.63733905579399142</v>
      </c>
      <c r="BN105" s="509">
        <f t="shared" si="123"/>
        <v>0.89457831325301207</v>
      </c>
      <c r="BO105" s="506">
        <v>648</v>
      </c>
      <c r="BP105" s="507">
        <v>448</v>
      </c>
      <c r="BQ105" s="507">
        <v>330</v>
      </c>
      <c r="BR105" s="507">
        <v>294</v>
      </c>
      <c r="BS105" s="507">
        <v>285</v>
      </c>
      <c r="BT105" s="508">
        <f t="shared" si="124"/>
        <v>0.65625</v>
      </c>
      <c r="BU105" s="509">
        <f t="shared" si="125"/>
        <v>0.89090909090909087</v>
      </c>
      <c r="BV105" s="506">
        <v>672</v>
      </c>
      <c r="BW105" s="507">
        <v>468</v>
      </c>
      <c r="BX105" s="507">
        <v>329</v>
      </c>
      <c r="BY105" s="507">
        <v>309</v>
      </c>
      <c r="BZ105" s="507">
        <v>301</v>
      </c>
      <c r="CA105" s="508">
        <f t="shared" si="126"/>
        <v>0.66025641025641024</v>
      </c>
      <c r="CB105" s="509">
        <f t="shared" si="127"/>
        <v>0.93920972644376899</v>
      </c>
      <c r="CC105" s="506">
        <v>454</v>
      </c>
      <c r="CD105" s="507">
        <v>448</v>
      </c>
      <c r="CE105" s="507">
        <v>431</v>
      </c>
      <c r="CF105" s="507">
        <v>423</v>
      </c>
      <c r="CG105" s="507">
        <v>320</v>
      </c>
      <c r="CH105" s="508">
        <f t="shared" si="166"/>
        <v>0.9441964285714286</v>
      </c>
      <c r="CI105" s="509">
        <f t="shared" si="167"/>
        <v>0.9814385150812065</v>
      </c>
      <c r="CJ105" s="506">
        <v>499</v>
      </c>
      <c r="CK105" s="507">
        <v>472</v>
      </c>
      <c r="CL105" s="507">
        <v>457</v>
      </c>
      <c r="CM105" s="507">
        <v>350</v>
      </c>
      <c r="CN105" s="507">
        <v>300</v>
      </c>
      <c r="CO105" s="508">
        <f t="shared" si="168"/>
        <v>0.74152542372881358</v>
      </c>
      <c r="CP105" s="508">
        <f t="shared" si="169"/>
        <v>0.76586433260393871</v>
      </c>
      <c r="CQ105" s="508">
        <v>0.74152542372881358</v>
      </c>
      <c r="CR105" s="509">
        <v>0.76586433260393871</v>
      </c>
      <c r="CS105" s="506">
        <v>564</v>
      </c>
      <c r="CT105" s="507">
        <v>521</v>
      </c>
      <c r="CU105" s="507">
        <v>513</v>
      </c>
      <c r="CV105" s="507">
        <v>420</v>
      </c>
      <c r="CW105" s="507">
        <v>343</v>
      </c>
      <c r="CX105" s="508">
        <f t="shared" si="144"/>
        <v>0.80614203454894429</v>
      </c>
      <c r="CY105" s="508">
        <f t="shared" si="145"/>
        <v>0.81871345029239762</v>
      </c>
      <c r="CZ105" s="508">
        <v>0.80614203454894429</v>
      </c>
      <c r="DA105" s="509">
        <v>0.81871345029239762</v>
      </c>
      <c r="DB105" s="506">
        <v>505</v>
      </c>
      <c r="DC105" s="507">
        <v>479</v>
      </c>
      <c r="DD105" s="507">
        <v>471</v>
      </c>
      <c r="DE105" s="507">
        <v>401</v>
      </c>
      <c r="DF105" s="507">
        <v>309</v>
      </c>
      <c r="DG105" s="508">
        <f t="shared" si="146"/>
        <v>0.83716075156576197</v>
      </c>
      <c r="DH105" s="508">
        <f t="shared" si="147"/>
        <v>0.85138004246284504</v>
      </c>
      <c r="DI105" s="508">
        <v>0.83716075156576197</v>
      </c>
      <c r="DJ105" s="509">
        <v>0.85138004246284504</v>
      </c>
      <c r="DK105" s="506">
        <v>467</v>
      </c>
      <c r="DL105" s="507">
        <v>449</v>
      </c>
      <c r="DM105" s="507">
        <v>442</v>
      </c>
      <c r="DN105" s="507">
        <v>380</v>
      </c>
      <c r="DO105" s="507">
        <v>280</v>
      </c>
      <c r="DP105" s="508">
        <f t="shared" si="148"/>
        <v>0.84632516703786187</v>
      </c>
      <c r="DQ105" s="508">
        <f t="shared" si="149"/>
        <v>0.85972850678733037</v>
      </c>
      <c r="DR105" s="508">
        <v>0.84632516703786187</v>
      </c>
      <c r="DS105" s="509">
        <v>0.85972850678733037</v>
      </c>
      <c r="DT105" s="506">
        <v>514</v>
      </c>
      <c r="DU105" s="507">
        <v>503</v>
      </c>
      <c r="DV105" s="507">
        <v>495</v>
      </c>
      <c r="DW105" s="507">
        <v>436</v>
      </c>
      <c r="DX105" s="507">
        <v>323</v>
      </c>
      <c r="DY105" s="508">
        <f t="shared" si="150"/>
        <v>0.86679920477137173</v>
      </c>
      <c r="DZ105" s="508">
        <f t="shared" si="151"/>
        <v>0.88080808080808082</v>
      </c>
      <c r="EA105" s="508">
        <v>0.86679920477137173</v>
      </c>
      <c r="EB105" s="509">
        <v>0.88080808080808082</v>
      </c>
    </row>
    <row r="106" spans="1:132" s="2" customFormat="1" x14ac:dyDescent="0.25">
      <c r="A106" s="503" t="s">
        <v>312</v>
      </c>
      <c r="B106" s="549" t="s">
        <v>316</v>
      </c>
      <c r="C106" s="505" t="s">
        <v>317</v>
      </c>
      <c r="D106" s="506">
        <v>1851</v>
      </c>
      <c r="E106" s="507">
        <v>1219</v>
      </c>
      <c r="F106" s="507">
        <v>1030</v>
      </c>
      <c r="G106" s="507">
        <v>393</v>
      </c>
      <c r="H106" s="507">
        <v>315</v>
      </c>
      <c r="I106" s="508">
        <f t="shared" si="108"/>
        <v>0.32239540607054962</v>
      </c>
      <c r="J106" s="509">
        <f t="shared" si="109"/>
        <v>0.38155339805825245</v>
      </c>
      <c r="K106" s="506">
        <v>1890</v>
      </c>
      <c r="L106" s="507">
        <v>1486</v>
      </c>
      <c r="M106" s="507">
        <v>1227</v>
      </c>
      <c r="N106" s="507">
        <v>386</v>
      </c>
      <c r="O106" s="507">
        <v>310</v>
      </c>
      <c r="P106" s="508">
        <f t="shared" si="110"/>
        <v>0.25975773889636611</v>
      </c>
      <c r="Q106" s="509">
        <f t="shared" si="111"/>
        <v>0.31458842705786472</v>
      </c>
      <c r="R106" s="506">
        <v>1636</v>
      </c>
      <c r="S106" s="507">
        <v>1293</v>
      </c>
      <c r="T106" s="507">
        <v>987</v>
      </c>
      <c r="U106" s="507">
        <v>361</v>
      </c>
      <c r="V106" s="507">
        <v>292</v>
      </c>
      <c r="W106" s="508">
        <f t="shared" si="106"/>
        <v>0.27919566898685227</v>
      </c>
      <c r="X106" s="509">
        <f t="shared" si="107"/>
        <v>0.36575481256332321</v>
      </c>
      <c r="Y106" s="506">
        <v>1429</v>
      </c>
      <c r="Z106" s="507">
        <v>1128</v>
      </c>
      <c r="AA106" s="507">
        <v>900</v>
      </c>
      <c r="AB106" s="507">
        <v>330</v>
      </c>
      <c r="AC106" s="507">
        <v>272</v>
      </c>
      <c r="AD106" s="508">
        <f t="shared" si="112"/>
        <v>0.29255319148936171</v>
      </c>
      <c r="AE106" s="509">
        <f t="shared" si="113"/>
        <v>0.36666666666666664</v>
      </c>
      <c r="AF106" s="506">
        <v>1656</v>
      </c>
      <c r="AG106" s="507">
        <v>1264</v>
      </c>
      <c r="AH106" s="507">
        <v>1040</v>
      </c>
      <c r="AI106" s="507">
        <v>287</v>
      </c>
      <c r="AJ106" s="507">
        <v>248</v>
      </c>
      <c r="AK106" s="508">
        <f t="shared" si="158"/>
        <v>0.22705696202531644</v>
      </c>
      <c r="AL106" s="509">
        <f t="shared" si="159"/>
        <v>0.27596153846153848</v>
      </c>
      <c r="AM106" s="506">
        <v>1318</v>
      </c>
      <c r="AN106" s="507">
        <v>1033</v>
      </c>
      <c r="AO106" s="507">
        <v>811</v>
      </c>
      <c r="AP106" s="507">
        <v>280</v>
      </c>
      <c r="AQ106" s="507">
        <v>238</v>
      </c>
      <c r="AR106" s="508">
        <f t="shared" si="160"/>
        <v>0.27105517909002902</v>
      </c>
      <c r="AS106" s="509">
        <f t="shared" si="161"/>
        <v>0.34525277435265106</v>
      </c>
      <c r="AT106" s="506">
        <v>1381</v>
      </c>
      <c r="AU106" s="507">
        <v>1083</v>
      </c>
      <c r="AV106" s="507">
        <v>861</v>
      </c>
      <c r="AW106" s="507">
        <v>331</v>
      </c>
      <c r="AX106" s="507">
        <v>263</v>
      </c>
      <c r="AY106" s="508">
        <f t="shared" si="162"/>
        <v>0.30563250230840261</v>
      </c>
      <c r="AZ106" s="509">
        <f t="shared" si="163"/>
        <v>0.38443670150987225</v>
      </c>
      <c r="BA106" s="506">
        <v>1247</v>
      </c>
      <c r="BB106" s="507">
        <v>966</v>
      </c>
      <c r="BC106" s="507">
        <v>734</v>
      </c>
      <c r="BD106" s="507">
        <v>369</v>
      </c>
      <c r="BE106" s="507">
        <v>302</v>
      </c>
      <c r="BF106" s="508">
        <f t="shared" si="164"/>
        <v>0.38198757763975155</v>
      </c>
      <c r="BG106" s="509">
        <f t="shared" si="165"/>
        <v>0.50272479564032702</v>
      </c>
      <c r="BH106" s="506">
        <v>1222</v>
      </c>
      <c r="BI106" s="507">
        <v>965</v>
      </c>
      <c r="BJ106" s="507">
        <v>784</v>
      </c>
      <c r="BK106" s="507">
        <v>456</v>
      </c>
      <c r="BL106" s="507">
        <v>336</v>
      </c>
      <c r="BM106" s="508">
        <f t="shared" si="122"/>
        <v>0.47253886010362695</v>
      </c>
      <c r="BN106" s="509">
        <f t="shared" si="123"/>
        <v>0.58163265306122447</v>
      </c>
      <c r="BO106" s="506">
        <v>1179</v>
      </c>
      <c r="BP106" s="507">
        <v>913</v>
      </c>
      <c r="BQ106" s="507">
        <v>736</v>
      </c>
      <c r="BR106" s="507">
        <v>476</v>
      </c>
      <c r="BS106" s="507">
        <v>346</v>
      </c>
      <c r="BT106" s="508">
        <f t="shared" si="124"/>
        <v>0.52135815991237677</v>
      </c>
      <c r="BU106" s="509">
        <f t="shared" si="125"/>
        <v>0.64673913043478259</v>
      </c>
      <c r="BV106" s="506">
        <v>1224</v>
      </c>
      <c r="BW106" s="507">
        <v>952</v>
      </c>
      <c r="BX106" s="507">
        <v>782</v>
      </c>
      <c r="BY106" s="507">
        <v>467</v>
      </c>
      <c r="BZ106" s="507">
        <v>314</v>
      </c>
      <c r="CA106" s="508">
        <f t="shared" si="126"/>
        <v>0.49054621848739494</v>
      </c>
      <c r="CB106" s="509">
        <f t="shared" si="127"/>
        <v>0.59718670076726343</v>
      </c>
      <c r="CC106" s="506">
        <v>1402</v>
      </c>
      <c r="CD106" s="507">
        <v>1065</v>
      </c>
      <c r="CE106" s="507">
        <v>680</v>
      </c>
      <c r="CF106" s="507">
        <v>403</v>
      </c>
      <c r="CG106" s="507">
        <v>318</v>
      </c>
      <c r="CH106" s="508">
        <f t="shared" si="166"/>
        <v>0.37840375586854458</v>
      </c>
      <c r="CI106" s="509">
        <f t="shared" si="167"/>
        <v>0.59264705882352942</v>
      </c>
      <c r="CJ106" s="506">
        <v>1603</v>
      </c>
      <c r="CK106" s="507">
        <v>1241</v>
      </c>
      <c r="CL106" s="507">
        <v>998</v>
      </c>
      <c r="CM106" s="507">
        <v>478</v>
      </c>
      <c r="CN106" s="507">
        <v>351</v>
      </c>
      <c r="CO106" s="508">
        <f t="shared" si="168"/>
        <v>0.38517324738114422</v>
      </c>
      <c r="CP106" s="508">
        <f t="shared" si="169"/>
        <v>0.47895791583166331</v>
      </c>
      <c r="CQ106" s="508">
        <v>0.38517324738114422</v>
      </c>
      <c r="CR106" s="509">
        <v>0.47895791583166331</v>
      </c>
      <c r="CS106" s="506">
        <v>1520</v>
      </c>
      <c r="CT106" s="507">
        <v>1145</v>
      </c>
      <c r="CU106" s="507">
        <v>852</v>
      </c>
      <c r="CV106" s="507">
        <v>444</v>
      </c>
      <c r="CW106" s="507">
        <v>312</v>
      </c>
      <c r="CX106" s="508">
        <f t="shared" si="144"/>
        <v>0.38777292576419214</v>
      </c>
      <c r="CY106" s="508">
        <f t="shared" si="145"/>
        <v>0.52112676056338025</v>
      </c>
      <c r="CZ106" s="508">
        <v>0.38777292576419214</v>
      </c>
      <c r="DA106" s="509">
        <v>0.52112676056338025</v>
      </c>
      <c r="DB106" s="506">
        <v>1502</v>
      </c>
      <c r="DC106" s="507">
        <v>1137</v>
      </c>
      <c r="DD106" s="507">
        <v>925</v>
      </c>
      <c r="DE106" s="507">
        <v>512</v>
      </c>
      <c r="DF106" s="507">
        <v>345</v>
      </c>
      <c r="DG106" s="508">
        <f t="shared" si="146"/>
        <v>0.45030782761653476</v>
      </c>
      <c r="DH106" s="508">
        <f t="shared" si="147"/>
        <v>0.55351351351351352</v>
      </c>
      <c r="DI106" s="508">
        <v>0.45030782761653476</v>
      </c>
      <c r="DJ106" s="509">
        <v>0.55351351351351352</v>
      </c>
      <c r="DK106" s="506">
        <v>1814</v>
      </c>
      <c r="DL106" s="507">
        <v>1367</v>
      </c>
      <c r="DM106" s="507">
        <v>1051</v>
      </c>
      <c r="DN106" s="507">
        <v>573</v>
      </c>
      <c r="DO106" s="507">
        <v>394</v>
      </c>
      <c r="DP106" s="508">
        <f t="shared" si="148"/>
        <v>0.41916605705925386</v>
      </c>
      <c r="DQ106" s="508">
        <f t="shared" si="149"/>
        <v>0.54519505233111321</v>
      </c>
      <c r="DR106" s="508">
        <v>0.43964886613021215</v>
      </c>
      <c r="DS106" s="509">
        <v>0.57183634633682212</v>
      </c>
      <c r="DT106" s="506">
        <v>2009</v>
      </c>
      <c r="DU106" s="507">
        <v>1459</v>
      </c>
      <c r="DV106" s="507">
        <v>1085</v>
      </c>
      <c r="DW106" s="507">
        <v>621</v>
      </c>
      <c r="DX106" s="507">
        <v>419</v>
      </c>
      <c r="DY106" s="508">
        <f t="shared" si="150"/>
        <v>0.42563399588759426</v>
      </c>
      <c r="DZ106" s="508">
        <f t="shared" si="151"/>
        <v>0.57235023041474653</v>
      </c>
      <c r="EA106" s="508">
        <v>0.44893762851267993</v>
      </c>
      <c r="EB106" s="509">
        <v>0.60368663594470051</v>
      </c>
    </row>
    <row r="107" spans="1:132" s="2" customFormat="1" x14ac:dyDescent="0.25">
      <c r="A107" s="503" t="s">
        <v>312</v>
      </c>
      <c r="B107" s="504" t="s">
        <v>318</v>
      </c>
      <c r="C107" s="505" t="s">
        <v>319</v>
      </c>
      <c r="D107" s="506">
        <v>3258</v>
      </c>
      <c r="E107" s="507">
        <v>2923</v>
      </c>
      <c r="F107" s="507">
        <v>2418</v>
      </c>
      <c r="G107" s="507">
        <v>442</v>
      </c>
      <c r="H107" s="507">
        <v>397</v>
      </c>
      <c r="I107" s="508">
        <f t="shared" si="108"/>
        <v>0.15121450564488539</v>
      </c>
      <c r="J107" s="509">
        <f t="shared" si="109"/>
        <v>0.18279569892473119</v>
      </c>
      <c r="K107" s="506">
        <v>2641</v>
      </c>
      <c r="L107" s="507">
        <v>2400</v>
      </c>
      <c r="M107" s="507">
        <v>2217</v>
      </c>
      <c r="N107" s="507">
        <v>504</v>
      </c>
      <c r="O107" s="507">
        <v>303</v>
      </c>
      <c r="P107" s="508">
        <f t="shared" si="110"/>
        <v>0.21</v>
      </c>
      <c r="Q107" s="509">
        <f t="shared" si="111"/>
        <v>0.2273342354533153</v>
      </c>
      <c r="R107" s="506">
        <v>2634</v>
      </c>
      <c r="S107" s="507">
        <v>2372</v>
      </c>
      <c r="T107" s="507">
        <v>2160</v>
      </c>
      <c r="U107" s="507">
        <v>549</v>
      </c>
      <c r="V107" s="507">
        <v>356</v>
      </c>
      <c r="W107" s="508">
        <f t="shared" si="106"/>
        <v>0.23145025295109611</v>
      </c>
      <c r="X107" s="509">
        <f t="shared" si="107"/>
        <v>0.25416666666666665</v>
      </c>
      <c r="Y107" s="506">
        <v>328</v>
      </c>
      <c r="Z107" s="507">
        <v>324</v>
      </c>
      <c r="AA107" s="507">
        <v>278</v>
      </c>
      <c r="AB107" s="507">
        <v>193</v>
      </c>
      <c r="AC107" s="507">
        <v>124</v>
      </c>
      <c r="AD107" s="508">
        <f t="shared" si="112"/>
        <v>0.59567901234567899</v>
      </c>
      <c r="AE107" s="509">
        <f t="shared" si="113"/>
        <v>0.69424460431654678</v>
      </c>
      <c r="AF107" s="506">
        <v>1177</v>
      </c>
      <c r="AG107" s="507">
        <v>1072</v>
      </c>
      <c r="AH107" s="507">
        <v>1002</v>
      </c>
      <c r="AI107" s="507">
        <v>406</v>
      </c>
      <c r="AJ107" s="507">
        <v>334</v>
      </c>
      <c r="AK107" s="508">
        <f t="shared" si="158"/>
        <v>0.3787313432835821</v>
      </c>
      <c r="AL107" s="509">
        <f t="shared" si="159"/>
        <v>0.40518962075848303</v>
      </c>
      <c r="AM107" s="506">
        <v>1505</v>
      </c>
      <c r="AN107" s="507">
        <v>1364</v>
      </c>
      <c r="AO107" s="507">
        <v>1279</v>
      </c>
      <c r="AP107" s="507">
        <v>631</v>
      </c>
      <c r="AQ107" s="507">
        <v>432</v>
      </c>
      <c r="AR107" s="508">
        <f t="shared" si="160"/>
        <v>0.46260997067448678</v>
      </c>
      <c r="AS107" s="509">
        <f t="shared" si="161"/>
        <v>0.49335418295543393</v>
      </c>
      <c r="AT107" s="506">
        <v>1605</v>
      </c>
      <c r="AU107" s="507">
        <v>1466</v>
      </c>
      <c r="AV107" s="507">
        <v>1466</v>
      </c>
      <c r="AW107" s="507">
        <v>559</v>
      </c>
      <c r="AX107" s="507">
        <v>334</v>
      </c>
      <c r="AY107" s="508">
        <f t="shared" si="162"/>
        <v>0.38130968622100953</v>
      </c>
      <c r="AZ107" s="509">
        <f t="shared" si="163"/>
        <v>0.38130968622100953</v>
      </c>
      <c r="BA107" s="506">
        <v>1568</v>
      </c>
      <c r="BB107" s="507">
        <v>1406</v>
      </c>
      <c r="BC107" s="507">
        <v>1339</v>
      </c>
      <c r="BD107" s="507">
        <v>527</v>
      </c>
      <c r="BE107" s="507">
        <v>331</v>
      </c>
      <c r="BF107" s="508">
        <f t="shared" si="164"/>
        <v>0.37482219061166427</v>
      </c>
      <c r="BG107" s="509">
        <f t="shared" si="165"/>
        <v>0.39357729648991785</v>
      </c>
      <c r="BH107" s="506">
        <v>1339</v>
      </c>
      <c r="BI107" s="507">
        <v>1218</v>
      </c>
      <c r="BJ107" s="507">
        <v>1168</v>
      </c>
      <c r="BK107" s="507">
        <v>684</v>
      </c>
      <c r="BL107" s="507">
        <v>367</v>
      </c>
      <c r="BM107" s="508">
        <f t="shared" si="122"/>
        <v>0.56157635467980294</v>
      </c>
      <c r="BN107" s="509">
        <f t="shared" si="123"/>
        <v>0.58561643835616439</v>
      </c>
      <c r="BO107" s="506">
        <v>1184</v>
      </c>
      <c r="BP107" s="507">
        <v>1082</v>
      </c>
      <c r="BQ107" s="507">
        <v>1030</v>
      </c>
      <c r="BR107" s="507">
        <v>734</v>
      </c>
      <c r="BS107" s="507">
        <v>404</v>
      </c>
      <c r="BT107" s="508">
        <f t="shared" si="124"/>
        <v>0.67837338262476898</v>
      </c>
      <c r="BU107" s="509">
        <f t="shared" si="125"/>
        <v>0.71262135922330094</v>
      </c>
      <c r="BV107" s="506">
        <v>1208</v>
      </c>
      <c r="BW107" s="507">
        <v>1116</v>
      </c>
      <c r="BX107" s="507">
        <v>1061</v>
      </c>
      <c r="BY107" s="507">
        <v>750</v>
      </c>
      <c r="BZ107" s="507">
        <v>401</v>
      </c>
      <c r="CA107" s="508">
        <f t="shared" si="126"/>
        <v>0.67204301075268813</v>
      </c>
      <c r="CB107" s="509">
        <f t="shared" si="127"/>
        <v>0.70688030160226201</v>
      </c>
      <c r="CC107" s="506">
        <v>1247</v>
      </c>
      <c r="CD107" s="507">
        <v>1122</v>
      </c>
      <c r="CE107" s="507">
        <v>1085</v>
      </c>
      <c r="CF107" s="507">
        <v>763</v>
      </c>
      <c r="CG107" s="507">
        <v>428</v>
      </c>
      <c r="CH107" s="508">
        <f t="shared" si="166"/>
        <v>0.68003565062388593</v>
      </c>
      <c r="CI107" s="509">
        <f t="shared" si="167"/>
        <v>0.70322580645161292</v>
      </c>
      <c r="CJ107" s="506">
        <v>1238</v>
      </c>
      <c r="CK107" s="507">
        <v>1114</v>
      </c>
      <c r="CL107" s="507">
        <v>1114</v>
      </c>
      <c r="CM107" s="507">
        <v>741</v>
      </c>
      <c r="CN107" s="507">
        <v>437</v>
      </c>
      <c r="CO107" s="508">
        <f t="shared" si="168"/>
        <v>0.66517055655296231</v>
      </c>
      <c r="CP107" s="508">
        <f t="shared" si="169"/>
        <v>0.66517055655296231</v>
      </c>
      <c r="CQ107" s="508">
        <v>0.66517055655296231</v>
      </c>
      <c r="CR107" s="509">
        <v>0.66517055655296231</v>
      </c>
      <c r="CS107" s="506">
        <v>1237</v>
      </c>
      <c r="CT107" s="507">
        <v>1118</v>
      </c>
      <c r="CU107" s="507">
        <v>1076</v>
      </c>
      <c r="CV107" s="507">
        <v>779</v>
      </c>
      <c r="CW107" s="507">
        <v>363</v>
      </c>
      <c r="CX107" s="508">
        <f t="shared" si="144"/>
        <v>0.69677996422182464</v>
      </c>
      <c r="CY107" s="508">
        <f t="shared" si="145"/>
        <v>0.72397769516728627</v>
      </c>
      <c r="CZ107" s="508">
        <v>0.69677996422182464</v>
      </c>
      <c r="DA107" s="509">
        <v>0.72397769516728627</v>
      </c>
      <c r="DB107" s="506">
        <v>1344</v>
      </c>
      <c r="DC107" s="507">
        <v>1208</v>
      </c>
      <c r="DD107" s="507">
        <v>1175</v>
      </c>
      <c r="DE107" s="507">
        <v>855</v>
      </c>
      <c r="DF107" s="507">
        <v>480</v>
      </c>
      <c r="DG107" s="508">
        <f t="shared" si="146"/>
        <v>0.70778145695364236</v>
      </c>
      <c r="DH107" s="508">
        <f t="shared" si="147"/>
        <v>0.72765957446808516</v>
      </c>
      <c r="DI107" s="508">
        <v>0.70778145695364236</v>
      </c>
      <c r="DJ107" s="509">
        <v>0.72765957446808516</v>
      </c>
      <c r="DK107" s="506">
        <v>1630</v>
      </c>
      <c r="DL107" s="507">
        <v>1459</v>
      </c>
      <c r="DM107" s="507">
        <v>1409</v>
      </c>
      <c r="DN107" s="507">
        <v>925</v>
      </c>
      <c r="DO107" s="507">
        <v>484</v>
      </c>
      <c r="DP107" s="508">
        <f t="shared" si="148"/>
        <v>0.63399588759424264</v>
      </c>
      <c r="DQ107" s="508">
        <f t="shared" si="149"/>
        <v>0.65649396735273247</v>
      </c>
      <c r="DR107" s="508">
        <v>0.63399588759424264</v>
      </c>
      <c r="DS107" s="509">
        <v>0.65649396735273247</v>
      </c>
      <c r="DT107" s="506">
        <v>1756</v>
      </c>
      <c r="DU107" s="507">
        <v>1555</v>
      </c>
      <c r="DV107" s="507">
        <v>1514</v>
      </c>
      <c r="DW107" s="507">
        <v>489</v>
      </c>
      <c r="DX107" s="507">
        <v>489</v>
      </c>
      <c r="DY107" s="508">
        <f t="shared" si="150"/>
        <v>0.3144694533762058</v>
      </c>
      <c r="DZ107" s="508">
        <f t="shared" si="151"/>
        <v>0.3229854689564069</v>
      </c>
      <c r="EA107" s="508">
        <v>0.58263665594855307</v>
      </c>
      <c r="EB107" s="509">
        <v>0.59841479524438568</v>
      </c>
    </row>
    <row r="108" spans="1:132" s="2" customFormat="1" x14ac:dyDescent="0.25">
      <c r="A108" s="503" t="s">
        <v>312</v>
      </c>
      <c r="B108" s="504" t="s">
        <v>320</v>
      </c>
      <c r="C108" s="510" t="s">
        <v>321</v>
      </c>
      <c r="D108" s="506">
        <v>3617</v>
      </c>
      <c r="E108" s="507">
        <v>2781</v>
      </c>
      <c r="F108" s="507">
        <v>2125</v>
      </c>
      <c r="G108" s="507">
        <v>1223</v>
      </c>
      <c r="H108" s="507">
        <v>957</v>
      </c>
      <c r="I108" s="508">
        <f t="shared" si="108"/>
        <v>0.43976986695433296</v>
      </c>
      <c r="J108" s="509">
        <f t="shared" si="109"/>
        <v>0.57552941176470584</v>
      </c>
      <c r="K108" s="506">
        <v>3007</v>
      </c>
      <c r="L108" s="507">
        <v>2306</v>
      </c>
      <c r="M108" s="507">
        <v>1750</v>
      </c>
      <c r="N108" s="507">
        <v>1066</v>
      </c>
      <c r="O108" s="507">
        <v>816</v>
      </c>
      <c r="P108" s="508">
        <f t="shared" si="110"/>
        <v>0.46227233304423243</v>
      </c>
      <c r="Q108" s="509">
        <f t="shared" si="111"/>
        <v>0.6091428571428571</v>
      </c>
      <c r="R108" s="506">
        <v>2460</v>
      </c>
      <c r="S108" s="507">
        <v>1903</v>
      </c>
      <c r="T108" s="507">
        <v>1525</v>
      </c>
      <c r="U108" s="507">
        <v>1235</v>
      </c>
      <c r="V108" s="507">
        <v>957</v>
      </c>
      <c r="W108" s="508">
        <f t="shared" si="106"/>
        <v>0.64897530215449295</v>
      </c>
      <c r="X108" s="509">
        <f t="shared" si="107"/>
        <v>0.80983606557377052</v>
      </c>
      <c r="Y108" s="506">
        <v>2250</v>
      </c>
      <c r="Z108" s="507">
        <v>1790</v>
      </c>
      <c r="AA108" s="507">
        <v>1334</v>
      </c>
      <c r="AB108" s="507">
        <v>1135</v>
      </c>
      <c r="AC108" s="507">
        <v>904</v>
      </c>
      <c r="AD108" s="508">
        <f t="shared" si="112"/>
        <v>0.63407821229050276</v>
      </c>
      <c r="AE108" s="509">
        <f t="shared" si="113"/>
        <v>0.85082458770614688</v>
      </c>
      <c r="AF108" s="506">
        <v>2052</v>
      </c>
      <c r="AG108" s="507">
        <v>1618</v>
      </c>
      <c r="AH108" s="507">
        <v>1189</v>
      </c>
      <c r="AI108" s="507">
        <v>743</v>
      </c>
      <c r="AJ108" s="507">
        <v>575</v>
      </c>
      <c r="AK108" s="508">
        <f t="shared" si="158"/>
        <v>0.45920889987639063</v>
      </c>
      <c r="AL108" s="509">
        <f t="shared" si="159"/>
        <v>0.6248948696383515</v>
      </c>
      <c r="AM108" s="506">
        <v>1404</v>
      </c>
      <c r="AN108" s="507">
        <v>1172</v>
      </c>
      <c r="AO108" s="507">
        <v>943</v>
      </c>
      <c r="AP108" s="507">
        <v>703</v>
      </c>
      <c r="AQ108" s="507">
        <v>527</v>
      </c>
      <c r="AR108" s="508">
        <f t="shared" si="160"/>
        <v>0.59982935153583616</v>
      </c>
      <c r="AS108" s="509">
        <f t="shared" si="161"/>
        <v>0.74549310710498407</v>
      </c>
      <c r="AT108" s="506">
        <v>1265</v>
      </c>
      <c r="AU108" s="507">
        <v>1054</v>
      </c>
      <c r="AV108" s="507">
        <v>866</v>
      </c>
      <c r="AW108" s="507">
        <v>705</v>
      </c>
      <c r="AX108" s="507">
        <v>547</v>
      </c>
      <c r="AY108" s="508">
        <f t="shared" si="162"/>
        <v>0.66888045540796959</v>
      </c>
      <c r="AZ108" s="509">
        <f t="shared" si="163"/>
        <v>0.81408775981524251</v>
      </c>
      <c r="BA108" s="506">
        <v>1181</v>
      </c>
      <c r="BB108" s="507">
        <v>986</v>
      </c>
      <c r="BC108" s="507">
        <v>933</v>
      </c>
      <c r="BD108" s="507">
        <v>734</v>
      </c>
      <c r="BE108" s="507">
        <v>554</v>
      </c>
      <c r="BF108" s="508">
        <f t="shared" si="164"/>
        <v>0.744421906693712</v>
      </c>
      <c r="BG108" s="509">
        <f t="shared" si="165"/>
        <v>0.78670953912111463</v>
      </c>
      <c r="BH108" s="506">
        <v>1568</v>
      </c>
      <c r="BI108" s="507">
        <v>1227</v>
      </c>
      <c r="BJ108" s="507">
        <v>1227</v>
      </c>
      <c r="BK108" s="507">
        <v>804</v>
      </c>
      <c r="BL108" s="507">
        <v>513</v>
      </c>
      <c r="BM108" s="508">
        <f t="shared" si="122"/>
        <v>0.65525672371638144</v>
      </c>
      <c r="BN108" s="509">
        <f t="shared" si="123"/>
        <v>0.65525672371638144</v>
      </c>
      <c r="BO108" s="506">
        <v>993</v>
      </c>
      <c r="BP108" s="507">
        <v>826</v>
      </c>
      <c r="BQ108" s="507">
        <v>826</v>
      </c>
      <c r="BR108" s="507">
        <v>620</v>
      </c>
      <c r="BS108" s="507">
        <v>442</v>
      </c>
      <c r="BT108" s="508">
        <f t="shared" si="124"/>
        <v>0.75060532687651327</v>
      </c>
      <c r="BU108" s="509">
        <f t="shared" si="125"/>
        <v>0.75060532687651327</v>
      </c>
      <c r="BV108" s="506">
        <v>1194</v>
      </c>
      <c r="BW108" s="507">
        <v>978</v>
      </c>
      <c r="BX108" s="507">
        <v>978</v>
      </c>
      <c r="BY108" s="507">
        <v>734</v>
      </c>
      <c r="BZ108" s="507">
        <v>570</v>
      </c>
      <c r="CA108" s="508">
        <f t="shared" si="126"/>
        <v>0.75051124744376274</v>
      </c>
      <c r="CB108" s="509">
        <f t="shared" si="127"/>
        <v>0.75051124744376274</v>
      </c>
      <c r="CC108" s="506">
        <v>1357</v>
      </c>
      <c r="CD108" s="507">
        <v>1128</v>
      </c>
      <c r="CE108" s="507">
        <v>1128</v>
      </c>
      <c r="CF108" s="507">
        <v>831</v>
      </c>
      <c r="CG108" s="507">
        <v>656</v>
      </c>
      <c r="CH108" s="508">
        <f t="shared" si="166"/>
        <v>0.73670212765957444</v>
      </c>
      <c r="CI108" s="509">
        <f t="shared" si="167"/>
        <v>0.73670212765957444</v>
      </c>
      <c r="CJ108" s="506">
        <v>1161</v>
      </c>
      <c r="CK108" s="507">
        <v>955</v>
      </c>
      <c r="CL108" s="507">
        <v>876</v>
      </c>
      <c r="CM108" s="507">
        <v>575</v>
      </c>
      <c r="CN108" s="507">
        <v>485</v>
      </c>
      <c r="CO108" s="508">
        <f t="shared" si="168"/>
        <v>0.60209424083769636</v>
      </c>
      <c r="CP108" s="508">
        <f t="shared" si="169"/>
        <v>0.65639269406392697</v>
      </c>
      <c r="CQ108" s="508">
        <v>0.60209424083769636</v>
      </c>
      <c r="CR108" s="509">
        <v>0.65639269406392697</v>
      </c>
      <c r="CS108" s="506">
        <v>1363</v>
      </c>
      <c r="CT108" s="507">
        <v>1096</v>
      </c>
      <c r="CU108" s="507">
        <v>1001</v>
      </c>
      <c r="CV108" s="507">
        <v>794</v>
      </c>
      <c r="CW108" s="507">
        <v>602</v>
      </c>
      <c r="CX108" s="508">
        <f t="shared" si="144"/>
        <v>0.72445255474452552</v>
      </c>
      <c r="CY108" s="508">
        <f t="shared" si="145"/>
        <v>0.79320679320679321</v>
      </c>
      <c r="CZ108" s="508">
        <v>0.72445255474452552</v>
      </c>
      <c r="DA108" s="509">
        <v>0.79320679320679321</v>
      </c>
      <c r="DB108" s="506">
        <v>1585</v>
      </c>
      <c r="DC108" s="507">
        <v>1237</v>
      </c>
      <c r="DD108" s="507">
        <v>1006</v>
      </c>
      <c r="DE108" s="507">
        <v>814</v>
      </c>
      <c r="DF108" s="507">
        <v>603</v>
      </c>
      <c r="DG108" s="508">
        <f t="shared" si="146"/>
        <v>0.6580436540016168</v>
      </c>
      <c r="DH108" s="508">
        <f t="shared" si="147"/>
        <v>0.80914512922465209</v>
      </c>
      <c r="DI108" s="508">
        <v>0.6580436540016168</v>
      </c>
      <c r="DJ108" s="509">
        <v>0.80914512922465209</v>
      </c>
      <c r="DK108" s="506">
        <v>1622</v>
      </c>
      <c r="DL108" s="507">
        <v>1197</v>
      </c>
      <c r="DM108" s="507">
        <v>938</v>
      </c>
      <c r="DN108" s="507">
        <v>809</v>
      </c>
      <c r="DO108" s="507">
        <v>590</v>
      </c>
      <c r="DP108" s="508">
        <f t="shared" si="148"/>
        <v>0.67585630743525482</v>
      </c>
      <c r="DQ108" s="508">
        <f t="shared" si="149"/>
        <v>0.86247334754797444</v>
      </c>
      <c r="DR108" s="508">
        <v>0.67585630743525482</v>
      </c>
      <c r="DS108" s="509">
        <v>0.86247334754797444</v>
      </c>
      <c r="DT108" s="506">
        <v>1766</v>
      </c>
      <c r="DU108" s="507">
        <v>1331</v>
      </c>
      <c r="DV108" s="507">
        <v>1022</v>
      </c>
      <c r="DW108" s="507">
        <v>897</v>
      </c>
      <c r="DX108" s="507">
        <v>664</v>
      </c>
      <c r="DY108" s="508">
        <f t="shared" si="150"/>
        <v>0.6739293764087152</v>
      </c>
      <c r="DZ108" s="508">
        <f t="shared" si="151"/>
        <v>0.87769080234833663</v>
      </c>
      <c r="EA108" s="508">
        <v>0.6739293764087152</v>
      </c>
      <c r="EB108" s="509">
        <v>0.87769080234833663</v>
      </c>
    </row>
    <row r="109" spans="1:132" s="2" customFormat="1" x14ac:dyDescent="0.25">
      <c r="A109" s="503" t="s">
        <v>312</v>
      </c>
      <c r="B109" s="504">
        <v>23410</v>
      </c>
      <c r="C109" s="510" t="s">
        <v>548</v>
      </c>
      <c r="D109" s="506"/>
      <c r="E109" s="507"/>
      <c r="F109" s="507"/>
      <c r="G109" s="507"/>
      <c r="H109" s="507"/>
      <c r="I109" s="508"/>
      <c r="J109" s="509"/>
      <c r="K109" s="506" t="s">
        <v>67</v>
      </c>
      <c r="L109" s="507" t="s">
        <v>67</v>
      </c>
      <c r="M109" s="507" t="s">
        <v>67</v>
      </c>
      <c r="N109" s="507" t="s">
        <v>67</v>
      </c>
      <c r="O109" s="507" t="s">
        <v>67</v>
      </c>
      <c r="P109" s="508" t="s">
        <v>67</v>
      </c>
      <c r="Q109" s="509" t="s">
        <v>67</v>
      </c>
      <c r="R109" s="506" t="s">
        <v>67</v>
      </c>
      <c r="S109" s="507" t="s">
        <v>67</v>
      </c>
      <c r="T109" s="507" t="s">
        <v>67</v>
      </c>
      <c r="U109" s="507" t="s">
        <v>67</v>
      </c>
      <c r="V109" s="507" t="s">
        <v>67</v>
      </c>
      <c r="W109" s="508" t="s">
        <v>67</v>
      </c>
      <c r="X109" s="509" t="s">
        <v>67</v>
      </c>
      <c r="Y109" s="506" t="s">
        <v>67</v>
      </c>
      <c r="Z109" s="507" t="s">
        <v>67</v>
      </c>
      <c r="AA109" s="507" t="s">
        <v>67</v>
      </c>
      <c r="AB109" s="507" t="s">
        <v>67</v>
      </c>
      <c r="AC109" s="507" t="s">
        <v>67</v>
      </c>
      <c r="AD109" s="508" t="s">
        <v>67</v>
      </c>
      <c r="AE109" s="509" t="s">
        <v>67</v>
      </c>
      <c r="AF109" s="506">
        <v>574</v>
      </c>
      <c r="AG109" s="507">
        <v>460</v>
      </c>
      <c r="AH109" s="507">
        <v>407</v>
      </c>
      <c r="AI109" s="507">
        <v>184</v>
      </c>
      <c r="AJ109" s="507">
        <v>161</v>
      </c>
      <c r="AK109" s="508">
        <f t="shared" ref="AK109" si="170">AI109/AG109</f>
        <v>0.4</v>
      </c>
      <c r="AL109" s="509">
        <f t="shared" ref="AL109" si="171">AI109/AH109</f>
        <v>0.45208845208845211</v>
      </c>
      <c r="AM109" s="506">
        <v>645</v>
      </c>
      <c r="AN109" s="507">
        <v>515</v>
      </c>
      <c r="AO109" s="507">
        <v>474</v>
      </c>
      <c r="AP109" s="507">
        <v>134</v>
      </c>
      <c r="AQ109" s="507">
        <v>103</v>
      </c>
      <c r="AR109" s="508">
        <f t="shared" si="160"/>
        <v>0.26019417475728157</v>
      </c>
      <c r="AS109" s="509">
        <f t="shared" si="161"/>
        <v>0.28270042194092826</v>
      </c>
      <c r="AT109" s="506">
        <v>581</v>
      </c>
      <c r="AU109" s="507">
        <v>458</v>
      </c>
      <c r="AV109" s="507">
        <v>421</v>
      </c>
      <c r="AW109" s="507">
        <v>153</v>
      </c>
      <c r="AX109" s="507">
        <v>116</v>
      </c>
      <c r="AY109" s="508">
        <f t="shared" si="162"/>
        <v>0.33406113537117904</v>
      </c>
      <c r="AZ109" s="509">
        <f t="shared" si="163"/>
        <v>0.36342042755344417</v>
      </c>
      <c r="BA109" s="506">
        <v>552</v>
      </c>
      <c r="BB109" s="507">
        <v>431</v>
      </c>
      <c r="BC109" s="507">
        <v>378</v>
      </c>
      <c r="BD109" s="507">
        <v>153</v>
      </c>
      <c r="BE109" s="507">
        <v>124</v>
      </c>
      <c r="BF109" s="508">
        <f t="shared" si="164"/>
        <v>0.35498839907192575</v>
      </c>
      <c r="BG109" s="509">
        <f t="shared" si="165"/>
        <v>0.40476190476190477</v>
      </c>
      <c r="BH109" s="506">
        <v>598</v>
      </c>
      <c r="BI109" s="507">
        <v>443</v>
      </c>
      <c r="BJ109" s="507">
        <v>393</v>
      </c>
      <c r="BK109" s="507">
        <v>164</v>
      </c>
      <c r="BL109" s="507">
        <v>132</v>
      </c>
      <c r="BM109" s="508">
        <f t="shared" si="122"/>
        <v>0.37020316027088035</v>
      </c>
      <c r="BN109" s="509">
        <f t="shared" si="123"/>
        <v>0.41730279898218831</v>
      </c>
      <c r="BO109" s="506">
        <v>445</v>
      </c>
      <c r="BP109" s="507">
        <v>445</v>
      </c>
      <c r="BQ109" s="507">
        <v>406</v>
      </c>
      <c r="BR109" s="507">
        <v>178</v>
      </c>
      <c r="BS109" s="507">
        <v>143</v>
      </c>
      <c r="BT109" s="508">
        <f t="shared" si="124"/>
        <v>0.4</v>
      </c>
      <c r="BU109" s="509">
        <f t="shared" si="125"/>
        <v>0.43842364532019706</v>
      </c>
      <c r="BV109" s="506">
        <v>494</v>
      </c>
      <c r="BW109" s="507">
        <v>494</v>
      </c>
      <c r="BX109" s="507">
        <v>477</v>
      </c>
      <c r="BY109" s="507">
        <v>184</v>
      </c>
      <c r="BZ109" s="507">
        <v>154</v>
      </c>
      <c r="CA109" s="508">
        <f t="shared" si="126"/>
        <v>0.37246963562753038</v>
      </c>
      <c r="CB109" s="509">
        <f t="shared" si="127"/>
        <v>0.38574423480083858</v>
      </c>
      <c r="CC109" s="506">
        <v>506</v>
      </c>
      <c r="CD109" s="507">
        <v>506</v>
      </c>
      <c r="CE109" s="507">
        <v>481</v>
      </c>
      <c r="CF109" s="507">
        <v>191</v>
      </c>
      <c r="CG109" s="507">
        <v>153</v>
      </c>
      <c r="CH109" s="508">
        <f t="shared" si="166"/>
        <v>0.37747035573122528</v>
      </c>
      <c r="CI109" s="509">
        <f t="shared" si="167"/>
        <v>0.39708939708939711</v>
      </c>
      <c r="CJ109" s="506">
        <v>533</v>
      </c>
      <c r="CK109" s="507">
        <v>531</v>
      </c>
      <c r="CL109" s="507">
        <v>522</v>
      </c>
      <c r="CM109" s="507">
        <v>188</v>
      </c>
      <c r="CN109" s="507">
        <v>152</v>
      </c>
      <c r="CO109" s="508">
        <f t="shared" si="168"/>
        <v>0.35404896421845572</v>
      </c>
      <c r="CP109" s="508">
        <f t="shared" si="169"/>
        <v>0.36015325670498083</v>
      </c>
      <c r="CQ109" s="508">
        <v>0.35404896421845572</v>
      </c>
      <c r="CR109" s="509">
        <v>0.36015325670498083</v>
      </c>
      <c r="CS109" s="506">
        <v>593</v>
      </c>
      <c r="CT109" s="507">
        <v>592</v>
      </c>
      <c r="CU109" s="507">
        <v>590</v>
      </c>
      <c r="CV109" s="507">
        <v>175</v>
      </c>
      <c r="CW109" s="507">
        <v>132</v>
      </c>
      <c r="CX109" s="508">
        <f t="shared" si="144"/>
        <v>0.29560810810810811</v>
      </c>
      <c r="CY109" s="508">
        <f t="shared" si="145"/>
        <v>0.29661016949152541</v>
      </c>
      <c r="CZ109" s="508">
        <v>0.29560810810810811</v>
      </c>
      <c r="DA109" s="509">
        <v>0.29661016949152541</v>
      </c>
      <c r="DB109" s="506">
        <v>675</v>
      </c>
      <c r="DC109" s="507">
        <v>675</v>
      </c>
      <c r="DD109" s="507">
        <v>649</v>
      </c>
      <c r="DE109" s="507">
        <v>199</v>
      </c>
      <c r="DF109" s="507">
        <v>156</v>
      </c>
      <c r="DG109" s="508">
        <f t="shared" si="146"/>
        <v>0.29481481481481481</v>
      </c>
      <c r="DH109" s="508">
        <f t="shared" si="147"/>
        <v>0.30662557781201849</v>
      </c>
      <c r="DI109" s="508">
        <v>0.29481481481481481</v>
      </c>
      <c r="DJ109" s="509">
        <v>0.30662557781201849</v>
      </c>
      <c r="DK109" s="506">
        <v>731</v>
      </c>
      <c r="DL109" s="507">
        <v>731</v>
      </c>
      <c r="DM109" s="507">
        <v>716</v>
      </c>
      <c r="DN109" s="507">
        <v>208</v>
      </c>
      <c r="DO109" s="507">
        <v>166</v>
      </c>
      <c r="DP109" s="508">
        <f t="shared" si="148"/>
        <v>0.28454172366621067</v>
      </c>
      <c r="DQ109" s="508">
        <f t="shared" si="149"/>
        <v>0.29050279329608941</v>
      </c>
      <c r="DR109" s="508">
        <v>0.292749658002736</v>
      </c>
      <c r="DS109" s="509">
        <v>0.2988826815642458</v>
      </c>
      <c r="DT109" s="506">
        <v>717</v>
      </c>
      <c r="DU109" s="507">
        <v>717</v>
      </c>
      <c r="DV109" s="507">
        <v>707</v>
      </c>
      <c r="DW109" s="507">
        <v>206</v>
      </c>
      <c r="DX109" s="507">
        <v>149</v>
      </c>
      <c r="DY109" s="508">
        <f t="shared" si="150"/>
        <v>0.28730822873082285</v>
      </c>
      <c r="DZ109" s="508">
        <f t="shared" si="151"/>
        <v>0.29137199434229138</v>
      </c>
      <c r="EA109" s="508">
        <v>0.29288702928870292</v>
      </c>
      <c r="EB109" s="509">
        <v>0.29702970297029702</v>
      </c>
    </row>
    <row r="110" spans="1:132" s="2" customFormat="1" x14ac:dyDescent="0.25">
      <c r="A110" s="503" t="s">
        <v>312</v>
      </c>
      <c r="B110" s="504" t="s">
        <v>322</v>
      </c>
      <c r="C110" s="505" t="s">
        <v>323</v>
      </c>
      <c r="D110" s="506">
        <v>3657</v>
      </c>
      <c r="E110" s="507">
        <v>2717</v>
      </c>
      <c r="F110" s="507">
        <v>2466</v>
      </c>
      <c r="G110" s="507">
        <v>1478</v>
      </c>
      <c r="H110" s="507">
        <v>958</v>
      </c>
      <c r="I110" s="508">
        <f t="shared" si="108"/>
        <v>0.54398233345601765</v>
      </c>
      <c r="J110" s="509">
        <f t="shared" si="109"/>
        <v>0.59935117599351173</v>
      </c>
      <c r="K110" s="506">
        <v>3990</v>
      </c>
      <c r="L110" s="507">
        <v>2914</v>
      </c>
      <c r="M110" s="507">
        <v>2643</v>
      </c>
      <c r="N110" s="507">
        <v>1054</v>
      </c>
      <c r="O110" s="507">
        <v>741</v>
      </c>
      <c r="P110" s="508">
        <f t="shared" si="110"/>
        <v>0.36170212765957449</v>
      </c>
      <c r="Q110" s="509">
        <f t="shared" si="111"/>
        <v>0.39878925463488463</v>
      </c>
      <c r="R110" s="506">
        <v>3466</v>
      </c>
      <c r="S110" s="507">
        <v>2725</v>
      </c>
      <c r="T110" s="507">
        <v>2506</v>
      </c>
      <c r="U110" s="507">
        <v>901</v>
      </c>
      <c r="V110" s="507">
        <v>730</v>
      </c>
      <c r="W110" s="508">
        <f t="shared" si="106"/>
        <v>0.33064220183486237</v>
      </c>
      <c r="X110" s="509">
        <f t="shared" si="107"/>
        <v>0.35953711093375895</v>
      </c>
      <c r="Y110" s="506">
        <v>3543</v>
      </c>
      <c r="Z110" s="507">
        <v>2811</v>
      </c>
      <c r="AA110" s="507">
        <v>2269</v>
      </c>
      <c r="AB110" s="507">
        <v>1188</v>
      </c>
      <c r="AC110" s="507">
        <v>906</v>
      </c>
      <c r="AD110" s="508">
        <f t="shared" si="112"/>
        <v>0.42262540021344719</v>
      </c>
      <c r="AE110" s="509">
        <f t="shared" si="113"/>
        <v>0.52357866901718819</v>
      </c>
      <c r="AF110" s="506">
        <v>3374</v>
      </c>
      <c r="AG110" s="507">
        <v>2690</v>
      </c>
      <c r="AH110" s="507">
        <v>2099</v>
      </c>
      <c r="AI110" s="507">
        <v>833</v>
      </c>
      <c r="AJ110" s="507">
        <v>775</v>
      </c>
      <c r="AK110" s="508">
        <f t="shared" ref="AK110:AK130" si="172">AI110/AG110</f>
        <v>0.30966542750929366</v>
      </c>
      <c r="AL110" s="509">
        <f t="shared" ref="AL110:AL130" si="173">AI110/AH110</f>
        <v>0.39685564554549785</v>
      </c>
      <c r="AM110" s="506">
        <v>3392</v>
      </c>
      <c r="AN110" s="507">
        <v>2821</v>
      </c>
      <c r="AO110" s="507">
        <v>2100</v>
      </c>
      <c r="AP110" s="507">
        <v>890</v>
      </c>
      <c r="AQ110" s="507">
        <v>703</v>
      </c>
      <c r="AR110" s="508">
        <f t="shared" si="160"/>
        <v>0.31549096065225096</v>
      </c>
      <c r="AS110" s="509">
        <f t="shared" si="161"/>
        <v>0.4238095238095238</v>
      </c>
      <c r="AT110" s="506">
        <v>2780</v>
      </c>
      <c r="AU110" s="507">
        <v>2118</v>
      </c>
      <c r="AV110" s="507">
        <v>1651</v>
      </c>
      <c r="AW110" s="507">
        <v>739</v>
      </c>
      <c r="AX110" s="507">
        <v>576</v>
      </c>
      <c r="AY110" s="508">
        <f t="shared" si="162"/>
        <v>0.34891406987724266</v>
      </c>
      <c r="AZ110" s="509">
        <f t="shared" si="163"/>
        <v>0.4476075105996366</v>
      </c>
      <c r="BA110" s="506">
        <v>2789</v>
      </c>
      <c r="BB110" s="507">
        <v>2220</v>
      </c>
      <c r="BC110" s="507">
        <v>1588</v>
      </c>
      <c r="BD110" s="507">
        <v>718</v>
      </c>
      <c r="BE110" s="507">
        <v>561</v>
      </c>
      <c r="BF110" s="508">
        <f t="shared" si="164"/>
        <v>0.32342342342342345</v>
      </c>
      <c r="BG110" s="509">
        <f t="shared" si="165"/>
        <v>0.45214105793450882</v>
      </c>
      <c r="BH110" s="506">
        <v>1898</v>
      </c>
      <c r="BI110" s="507">
        <v>1563</v>
      </c>
      <c r="BJ110" s="507">
        <v>1154</v>
      </c>
      <c r="BK110" s="507">
        <v>876</v>
      </c>
      <c r="BL110" s="507">
        <v>645</v>
      </c>
      <c r="BM110" s="508">
        <f t="shared" si="122"/>
        <v>0.56046065259117084</v>
      </c>
      <c r="BN110" s="509">
        <f t="shared" si="123"/>
        <v>0.75909878682842291</v>
      </c>
      <c r="BO110" s="506">
        <v>1967</v>
      </c>
      <c r="BP110" s="507">
        <v>1574</v>
      </c>
      <c r="BQ110" s="507">
        <v>1182</v>
      </c>
      <c r="BR110" s="507">
        <v>910</v>
      </c>
      <c r="BS110" s="507">
        <v>656</v>
      </c>
      <c r="BT110" s="508">
        <f t="shared" si="124"/>
        <v>0.57814485387547654</v>
      </c>
      <c r="BU110" s="509">
        <f t="shared" si="125"/>
        <v>0.76988155668358715</v>
      </c>
      <c r="BV110" s="506">
        <v>2036</v>
      </c>
      <c r="BW110" s="507">
        <v>1655</v>
      </c>
      <c r="BX110" s="507">
        <v>1241</v>
      </c>
      <c r="BY110" s="507">
        <v>916</v>
      </c>
      <c r="BZ110" s="507">
        <v>648</v>
      </c>
      <c r="CA110" s="508">
        <f t="shared" si="126"/>
        <v>0.55347432024169185</v>
      </c>
      <c r="CB110" s="509">
        <f t="shared" si="127"/>
        <v>0.73811442385173243</v>
      </c>
      <c r="CC110" s="506">
        <v>2250</v>
      </c>
      <c r="CD110" s="507">
        <v>1705</v>
      </c>
      <c r="CE110" s="507">
        <v>1443</v>
      </c>
      <c r="CF110" s="507">
        <v>825</v>
      </c>
      <c r="CG110" s="507">
        <v>589</v>
      </c>
      <c r="CH110" s="508">
        <f t="shared" si="166"/>
        <v>0.4838709677419355</v>
      </c>
      <c r="CI110" s="509">
        <f t="shared" si="167"/>
        <v>0.5717255717255717</v>
      </c>
      <c r="CJ110" s="506">
        <v>2770</v>
      </c>
      <c r="CK110" s="507">
        <v>1959</v>
      </c>
      <c r="CL110" s="507">
        <v>1636</v>
      </c>
      <c r="CM110" s="507">
        <v>879</v>
      </c>
      <c r="CN110" s="507">
        <v>637</v>
      </c>
      <c r="CO110" s="508">
        <f t="shared" si="168"/>
        <v>0.44869831546707506</v>
      </c>
      <c r="CP110" s="508">
        <f t="shared" si="169"/>
        <v>0.53728606356968212</v>
      </c>
      <c r="CQ110" s="508">
        <v>0.44869831546707506</v>
      </c>
      <c r="CR110" s="509">
        <v>0.53728606356968212</v>
      </c>
      <c r="CS110" s="506">
        <v>3239</v>
      </c>
      <c r="CT110" s="507">
        <v>2286</v>
      </c>
      <c r="CU110" s="507">
        <v>1861</v>
      </c>
      <c r="CV110" s="507">
        <v>887</v>
      </c>
      <c r="CW110" s="507">
        <v>639</v>
      </c>
      <c r="CX110" s="508">
        <f t="shared" si="144"/>
        <v>0.38801399825021871</v>
      </c>
      <c r="CY110" s="508">
        <f t="shared" si="145"/>
        <v>0.47662547017732404</v>
      </c>
      <c r="CZ110" s="508">
        <v>0.38801399825021871</v>
      </c>
      <c r="DA110" s="509">
        <v>0.47662547017732404</v>
      </c>
      <c r="DB110" s="506">
        <v>3481</v>
      </c>
      <c r="DC110" s="507">
        <v>2357</v>
      </c>
      <c r="DD110" s="507">
        <v>2023</v>
      </c>
      <c r="DE110" s="507">
        <v>702</v>
      </c>
      <c r="DF110" s="507">
        <v>660</v>
      </c>
      <c r="DG110" s="508">
        <f t="shared" si="146"/>
        <v>0.29783623249893931</v>
      </c>
      <c r="DH110" s="508">
        <f t="shared" si="147"/>
        <v>0.34700939199209097</v>
      </c>
      <c r="DI110" s="508">
        <v>0.29783623249893931</v>
      </c>
      <c r="DJ110" s="509">
        <v>0.34700939199209097</v>
      </c>
      <c r="DK110" s="506">
        <v>3061</v>
      </c>
      <c r="DL110" s="507">
        <v>2056</v>
      </c>
      <c r="DM110" s="507">
        <v>1635</v>
      </c>
      <c r="DN110" s="507">
        <v>920</v>
      </c>
      <c r="DO110" s="507">
        <v>672</v>
      </c>
      <c r="DP110" s="508">
        <f t="shared" si="148"/>
        <v>0.44747081712062259</v>
      </c>
      <c r="DQ110" s="508">
        <f t="shared" si="149"/>
        <v>0.56269113149847094</v>
      </c>
      <c r="DR110" s="508">
        <v>0.44747081712062259</v>
      </c>
      <c r="DS110" s="509">
        <v>0.56269113149847094</v>
      </c>
      <c r="DT110" s="506">
        <v>3465</v>
      </c>
      <c r="DU110" s="507">
        <v>2283</v>
      </c>
      <c r="DV110" s="507">
        <v>1750</v>
      </c>
      <c r="DW110" s="507">
        <v>1086</v>
      </c>
      <c r="DX110" s="507">
        <v>702</v>
      </c>
      <c r="DY110" s="508">
        <f t="shared" si="150"/>
        <v>0.47568988173455978</v>
      </c>
      <c r="DZ110" s="508">
        <f t="shared" si="151"/>
        <v>0.62057142857142855</v>
      </c>
      <c r="EA110" s="508">
        <v>0.48138414367060883</v>
      </c>
      <c r="EB110" s="509">
        <v>0.628</v>
      </c>
    </row>
    <row r="111" spans="1:132" s="2" customFormat="1" x14ac:dyDescent="0.25">
      <c r="A111" s="503" t="s">
        <v>312</v>
      </c>
      <c r="B111" s="504" t="s">
        <v>324</v>
      </c>
      <c r="C111" s="505" t="s">
        <v>325</v>
      </c>
      <c r="D111" s="506">
        <v>2964</v>
      </c>
      <c r="E111" s="507">
        <v>2472</v>
      </c>
      <c r="F111" s="507">
        <v>1921</v>
      </c>
      <c r="G111" s="507">
        <v>1375</v>
      </c>
      <c r="H111" s="507">
        <v>858</v>
      </c>
      <c r="I111" s="508">
        <f t="shared" si="108"/>
        <v>0.55622977346278313</v>
      </c>
      <c r="J111" s="509">
        <f t="shared" si="109"/>
        <v>0.71577303487766786</v>
      </c>
      <c r="K111" s="506">
        <v>2184</v>
      </c>
      <c r="L111" s="507">
        <v>1815</v>
      </c>
      <c r="M111" s="507">
        <v>1385</v>
      </c>
      <c r="N111" s="507">
        <v>1038</v>
      </c>
      <c r="O111" s="507">
        <v>697</v>
      </c>
      <c r="P111" s="508">
        <f t="shared" si="110"/>
        <v>0.57190082644628104</v>
      </c>
      <c r="Q111" s="509">
        <f t="shared" si="111"/>
        <v>0.74945848375451263</v>
      </c>
      <c r="R111" s="506">
        <v>2753</v>
      </c>
      <c r="S111" s="507">
        <v>2057</v>
      </c>
      <c r="T111" s="507">
        <v>1970</v>
      </c>
      <c r="U111" s="507">
        <v>1098</v>
      </c>
      <c r="V111" s="507">
        <v>901</v>
      </c>
      <c r="W111" s="508">
        <f t="shared" si="106"/>
        <v>0.53378706854642688</v>
      </c>
      <c r="X111" s="509">
        <f t="shared" si="107"/>
        <v>0.55736040609137061</v>
      </c>
      <c r="Y111" s="506">
        <v>2646</v>
      </c>
      <c r="Z111" s="507">
        <v>1871</v>
      </c>
      <c r="AA111" s="507">
        <v>1740</v>
      </c>
      <c r="AB111" s="507">
        <v>843</v>
      </c>
      <c r="AC111" s="507">
        <v>674</v>
      </c>
      <c r="AD111" s="508">
        <f t="shared" si="112"/>
        <v>0.45056119722073756</v>
      </c>
      <c r="AE111" s="509">
        <f t="shared" si="113"/>
        <v>0.48448275862068968</v>
      </c>
      <c r="AF111" s="506">
        <v>2173</v>
      </c>
      <c r="AG111" s="507">
        <v>1512</v>
      </c>
      <c r="AH111" s="507">
        <v>1381</v>
      </c>
      <c r="AI111" s="507">
        <v>701</v>
      </c>
      <c r="AJ111" s="507">
        <v>608</v>
      </c>
      <c r="AK111" s="508">
        <f t="shared" si="172"/>
        <v>0.46362433862433861</v>
      </c>
      <c r="AL111" s="509">
        <f t="shared" si="173"/>
        <v>0.50760318609703114</v>
      </c>
      <c r="AM111" s="506">
        <v>1686</v>
      </c>
      <c r="AN111" s="507">
        <v>1192</v>
      </c>
      <c r="AO111" s="507">
        <v>1119</v>
      </c>
      <c r="AP111" s="507">
        <v>626</v>
      </c>
      <c r="AQ111" s="507">
        <v>521</v>
      </c>
      <c r="AR111" s="508">
        <f t="shared" si="160"/>
        <v>0.52516778523489938</v>
      </c>
      <c r="AS111" s="509">
        <f t="shared" si="161"/>
        <v>0.55942806076854334</v>
      </c>
      <c r="AT111" s="506">
        <v>1606</v>
      </c>
      <c r="AU111" s="507">
        <v>1196</v>
      </c>
      <c r="AV111" s="507">
        <v>1129</v>
      </c>
      <c r="AW111" s="507">
        <v>655</v>
      </c>
      <c r="AX111" s="507">
        <v>554</v>
      </c>
      <c r="AY111" s="508">
        <f t="shared" si="162"/>
        <v>0.5476588628762542</v>
      </c>
      <c r="AZ111" s="509">
        <f t="shared" si="163"/>
        <v>0.58015943312666074</v>
      </c>
      <c r="BA111" s="506">
        <v>1414</v>
      </c>
      <c r="BB111" s="507">
        <v>1086</v>
      </c>
      <c r="BC111" s="507">
        <v>1015</v>
      </c>
      <c r="BD111" s="507">
        <v>610</v>
      </c>
      <c r="BE111" s="507">
        <v>497</v>
      </c>
      <c r="BF111" s="508">
        <f t="shared" si="164"/>
        <v>0.56169429097605894</v>
      </c>
      <c r="BG111" s="509">
        <f t="shared" si="165"/>
        <v>0.60098522167487689</v>
      </c>
      <c r="BH111" s="506">
        <v>1493</v>
      </c>
      <c r="BI111" s="507">
        <v>1084</v>
      </c>
      <c r="BJ111" s="507">
        <v>1030</v>
      </c>
      <c r="BK111" s="507">
        <v>648</v>
      </c>
      <c r="BL111" s="507">
        <v>525</v>
      </c>
      <c r="BM111" s="508">
        <f t="shared" si="122"/>
        <v>0.59778597785977861</v>
      </c>
      <c r="BN111" s="509">
        <f t="shared" si="123"/>
        <v>0.62912621359223297</v>
      </c>
      <c r="BO111" s="506">
        <v>1507</v>
      </c>
      <c r="BP111" s="507">
        <v>1128</v>
      </c>
      <c r="BQ111" s="507">
        <v>1094</v>
      </c>
      <c r="BR111" s="507">
        <v>621</v>
      </c>
      <c r="BS111" s="507">
        <v>486</v>
      </c>
      <c r="BT111" s="508">
        <f t="shared" si="124"/>
        <v>0.55053191489361697</v>
      </c>
      <c r="BU111" s="509">
        <f t="shared" si="125"/>
        <v>0.56764168190127973</v>
      </c>
      <c r="BV111" s="506">
        <v>1799</v>
      </c>
      <c r="BW111" s="507">
        <v>1312</v>
      </c>
      <c r="BX111" s="507">
        <v>1246</v>
      </c>
      <c r="BY111" s="507">
        <v>774</v>
      </c>
      <c r="BZ111" s="507">
        <v>639</v>
      </c>
      <c r="CA111" s="508">
        <f t="shared" si="126"/>
        <v>0.58993902439024393</v>
      </c>
      <c r="CB111" s="509">
        <f t="shared" si="127"/>
        <v>0.6211878009630819</v>
      </c>
      <c r="CC111" s="506">
        <v>1871</v>
      </c>
      <c r="CD111" s="507">
        <v>1400</v>
      </c>
      <c r="CE111" s="507">
        <v>1342</v>
      </c>
      <c r="CF111" s="507">
        <v>727</v>
      </c>
      <c r="CG111" s="507">
        <v>551</v>
      </c>
      <c r="CH111" s="508">
        <f t="shared" si="166"/>
        <v>0.51928571428571424</v>
      </c>
      <c r="CI111" s="509">
        <f t="shared" si="167"/>
        <v>0.54172876304023843</v>
      </c>
      <c r="CJ111" s="506">
        <v>2164</v>
      </c>
      <c r="CK111" s="507">
        <v>1574</v>
      </c>
      <c r="CL111" s="507">
        <v>1507</v>
      </c>
      <c r="CM111" s="507">
        <v>747</v>
      </c>
      <c r="CN111" s="507">
        <v>538</v>
      </c>
      <c r="CO111" s="508">
        <f t="shared" si="168"/>
        <v>0.47458703939008895</v>
      </c>
      <c r="CP111" s="508">
        <f t="shared" si="169"/>
        <v>0.49568679495686796</v>
      </c>
      <c r="CQ111" s="508">
        <v>0.47458703939008895</v>
      </c>
      <c r="CR111" s="509">
        <v>0.49568679495686796</v>
      </c>
      <c r="CS111" s="506">
        <v>1865</v>
      </c>
      <c r="CT111" s="507">
        <v>1394</v>
      </c>
      <c r="CU111" s="507">
        <v>1330</v>
      </c>
      <c r="CV111" s="507">
        <v>721</v>
      </c>
      <c r="CW111" s="507">
        <v>536</v>
      </c>
      <c r="CX111" s="508">
        <f t="shared" si="144"/>
        <v>0.51721664275466284</v>
      </c>
      <c r="CY111" s="508">
        <f t="shared" si="145"/>
        <v>0.54210526315789476</v>
      </c>
      <c r="CZ111" s="508">
        <v>0.51721664275466284</v>
      </c>
      <c r="DA111" s="509">
        <v>0.54210526315789476</v>
      </c>
      <c r="DB111" s="506">
        <v>1771</v>
      </c>
      <c r="DC111" s="507">
        <v>1334</v>
      </c>
      <c r="DD111" s="507">
        <v>1297</v>
      </c>
      <c r="DE111" s="507">
        <v>883</v>
      </c>
      <c r="DF111" s="507">
        <v>560</v>
      </c>
      <c r="DG111" s="508">
        <f t="shared" si="146"/>
        <v>0.66191904047976013</v>
      </c>
      <c r="DH111" s="508">
        <f t="shared" si="147"/>
        <v>0.6808018504240555</v>
      </c>
      <c r="DI111" s="508">
        <v>0.66191904047976013</v>
      </c>
      <c r="DJ111" s="509">
        <v>0.6808018504240555</v>
      </c>
      <c r="DK111" s="506">
        <v>2139</v>
      </c>
      <c r="DL111" s="507">
        <v>1632</v>
      </c>
      <c r="DM111" s="507">
        <v>1568</v>
      </c>
      <c r="DN111" s="507">
        <v>1193</v>
      </c>
      <c r="DO111" s="507">
        <v>824</v>
      </c>
      <c r="DP111" s="508">
        <f t="shared" si="148"/>
        <v>0.73100490196078427</v>
      </c>
      <c r="DQ111" s="508">
        <f t="shared" si="149"/>
        <v>0.76084183673469385</v>
      </c>
      <c r="DR111" s="508">
        <v>0.87990196078431371</v>
      </c>
      <c r="DS111" s="509">
        <v>0.91581632653061229</v>
      </c>
      <c r="DT111" s="506">
        <v>2648</v>
      </c>
      <c r="DU111" s="507">
        <v>1892</v>
      </c>
      <c r="DV111" s="507">
        <v>1855</v>
      </c>
      <c r="DW111" s="507">
        <v>1284</v>
      </c>
      <c r="DX111" s="507">
        <v>838</v>
      </c>
      <c r="DY111" s="508">
        <f t="shared" si="150"/>
        <v>0.67864693446088797</v>
      </c>
      <c r="DZ111" s="508">
        <f t="shared" si="151"/>
        <v>0.69218328840970356</v>
      </c>
      <c r="EA111" s="508">
        <v>0.79492600422832982</v>
      </c>
      <c r="EB111" s="509">
        <v>0.81078167115902966</v>
      </c>
    </row>
    <row r="112" spans="1:132" s="2" customFormat="1" x14ac:dyDescent="0.25">
      <c r="A112" s="503" t="s">
        <v>312</v>
      </c>
      <c r="B112" s="504" t="s">
        <v>326</v>
      </c>
      <c r="C112" s="505" t="s">
        <v>327</v>
      </c>
      <c r="D112" s="506">
        <v>2628</v>
      </c>
      <c r="E112" s="507">
        <v>1237</v>
      </c>
      <c r="F112" s="507">
        <v>1121</v>
      </c>
      <c r="G112" s="507">
        <v>1085</v>
      </c>
      <c r="H112" s="507">
        <v>611</v>
      </c>
      <c r="I112" s="508">
        <f t="shared" si="108"/>
        <v>0.87712206952303962</v>
      </c>
      <c r="J112" s="509">
        <f t="shared" si="109"/>
        <v>0.96788581623550396</v>
      </c>
      <c r="K112" s="506">
        <v>2246</v>
      </c>
      <c r="L112" s="507">
        <v>1009</v>
      </c>
      <c r="M112" s="507">
        <v>880</v>
      </c>
      <c r="N112" s="507">
        <v>874</v>
      </c>
      <c r="O112" s="507">
        <v>551</v>
      </c>
      <c r="P112" s="508">
        <f t="shared" si="110"/>
        <v>0.86620416253716548</v>
      </c>
      <c r="Q112" s="509">
        <f t="shared" si="111"/>
        <v>0.99318181818181817</v>
      </c>
      <c r="R112" s="506">
        <v>2168</v>
      </c>
      <c r="S112" s="507">
        <v>1012</v>
      </c>
      <c r="T112" s="507">
        <v>616</v>
      </c>
      <c r="U112" s="507">
        <v>594</v>
      </c>
      <c r="V112" s="507">
        <v>572</v>
      </c>
      <c r="W112" s="508">
        <f t="shared" si="106"/>
        <v>0.58695652173913049</v>
      </c>
      <c r="X112" s="509">
        <f t="shared" si="107"/>
        <v>0.9642857142857143</v>
      </c>
      <c r="Y112" s="506">
        <v>1813</v>
      </c>
      <c r="Z112" s="507">
        <v>853</v>
      </c>
      <c r="AA112" s="507">
        <v>853</v>
      </c>
      <c r="AB112" s="507">
        <v>780</v>
      </c>
      <c r="AC112" s="507">
        <v>473</v>
      </c>
      <c r="AD112" s="508">
        <f t="shared" si="112"/>
        <v>0.91441969519343491</v>
      </c>
      <c r="AE112" s="509">
        <f t="shared" si="113"/>
        <v>0.91441969519343491</v>
      </c>
      <c r="AF112" s="506">
        <v>1600</v>
      </c>
      <c r="AG112" s="507">
        <v>809</v>
      </c>
      <c r="AH112" s="507">
        <v>809</v>
      </c>
      <c r="AI112" s="507">
        <v>753</v>
      </c>
      <c r="AJ112" s="507">
        <v>464</v>
      </c>
      <c r="AK112" s="508">
        <f t="shared" si="172"/>
        <v>0.93077873918417797</v>
      </c>
      <c r="AL112" s="509">
        <f t="shared" si="173"/>
        <v>0.93077873918417797</v>
      </c>
      <c r="AM112" s="506">
        <v>1294</v>
      </c>
      <c r="AN112" s="507">
        <v>713</v>
      </c>
      <c r="AO112" s="507">
        <v>713</v>
      </c>
      <c r="AP112" s="507">
        <v>660</v>
      </c>
      <c r="AQ112" s="507">
        <v>399</v>
      </c>
      <c r="AR112" s="508">
        <f t="shared" si="160"/>
        <v>0.92566619915848525</v>
      </c>
      <c r="AS112" s="509">
        <f t="shared" si="161"/>
        <v>0.92566619915848525</v>
      </c>
      <c r="AT112" s="506">
        <v>1181</v>
      </c>
      <c r="AU112" s="507">
        <v>683</v>
      </c>
      <c r="AV112" s="507">
        <v>663</v>
      </c>
      <c r="AW112" s="507">
        <v>623</v>
      </c>
      <c r="AX112" s="507">
        <v>374</v>
      </c>
      <c r="AY112" s="508">
        <f t="shared" si="162"/>
        <v>0.91215226939970717</v>
      </c>
      <c r="AZ112" s="509">
        <f t="shared" si="163"/>
        <v>0.9396681749622926</v>
      </c>
      <c r="BA112" s="506">
        <v>1007</v>
      </c>
      <c r="BB112" s="507">
        <v>616</v>
      </c>
      <c r="BC112" s="507">
        <v>560</v>
      </c>
      <c r="BD112" s="507">
        <v>354</v>
      </c>
      <c r="BE112" s="507">
        <v>336</v>
      </c>
      <c r="BF112" s="508">
        <f t="shared" si="164"/>
        <v>0.57467532467532467</v>
      </c>
      <c r="BG112" s="509">
        <f t="shared" si="165"/>
        <v>0.63214285714285712</v>
      </c>
      <c r="BH112" s="506">
        <v>717</v>
      </c>
      <c r="BI112" s="507">
        <v>608</v>
      </c>
      <c r="BJ112" s="507">
        <v>594</v>
      </c>
      <c r="BK112" s="507">
        <v>574</v>
      </c>
      <c r="BL112" s="507">
        <v>360</v>
      </c>
      <c r="BM112" s="508">
        <f t="shared" si="122"/>
        <v>0.94407894736842102</v>
      </c>
      <c r="BN112" s="509">
        <f t="shared" si="123"/>
        <v>0.96632996632996637</v>
      </c>
      <c r="BO112" s="506">
        <v>598</v>
      </c>
      <c r="BP112" s="507">
        <v>527</v>
      </c>
      <c r="BQ112" s="507">
        <v>506</v>
      </c>
      <c r="BR112" s="507">
        <v>468</v>
      </c>
      <c r="BS112" s="507">
        <v>295</v>
      </c>
      <c r="BT112" s="508">
        <f t="shared" si="124"/>
        <v>0.88804554079696396</v>
      </c>
      <c r="BU112" s="509">
        <f t="shared" si="125"/>
        <v>0.92490118577075098</v>
      </c>
      <c r="BV112" s="506">
        <v>942</v>
      </c>
      <c r="BW112" s="507">
        <v>592</v>
      </c>
      <c r="BX112" s="507">
        <v>574</v>
      </c>
      <c r="BY112" s="507">
        <v>543</v>
      </c>
      <c r="BZ112" s="507">
        <v>360</v>
      </c>
      <c r="CA112" s="508">
        <f t="shared" si="126"/>
        <v>0.91722972972972971</v>
      </c>
      <c r="CB112" s="509">
        <f t="shared" si="127"/>
        <v>0.94599303135888502</v>
      </c>
      <c r="CC112" s="506">
        <v>650</v>
      </c>
      <c r="CD112" s="507">
        <v>578</v>
      </c>
      <c r="CE112" s="507">
        <v>567</v>
      </c>
      <c r="CF112" s="507">
        <v>501</v>
      </c>
      <c r="CG112" s="507">
        <v>322</v>
      </c>
      <c r="CH112" s="508">
        <f t="shared" si="166"/>
        <v>0.86678200692041518</v>
      </c>
      <c r="CI112" s="509">
        <f t="shared" si="167"/>
        <v>0.8835978835978836</v>
      </c>
      <c r="CJ112" s="506">
        <v>689</v>
      </c>
      <c r="CK112" s="507">
        <v>593</v>
      </c>
      <c r="CL112" s="507">
        <v>582</v>
      </c>
      <c r="CM112" s="507">
        <v>350</v>
      </c>
      <c r="CN112" s="507">
        <v>320</v>
      </c>
      <c r="CO112" s="508">
        <f t="shared" si="168"/>
        <v>0.5902192242833052</v>
      </c>
      <c r="CP112" s="508">
        <f t="shared" si="169"/>
        <v>0.60137457044673537</v>
      </c>
      <c r="CQ112" s="508">
        <v>0.5902192242833052</v>
      </c>
      <c r="CR112" s="509">
        <v>0.60137457044673537</v>
      </c>
      <c r="CS112" s="506">
        <v>768</v>
      </c>
      <c r="CT112" s="507">
        <v>589</v>
      </c>
      <c r="CU112" s="507">
        <v>577</v>
      </c>
      <c r="CV112" s="507">
        <v>383</v>
      </c>
      <c r="CW112" s="507">
        <v>286</v>
      </c>
      <c r="CX112" s="508">
        <f t="shared" si="144"/>
        <v>0.65025466893039052</v>
      </c>
      <c r="CY112" s="508">
        <f t="shared" si="145"/>
        <v>0.66377816291161174</v>
      </c>
      <c r="CZ112" s="508">
        <v>0.65025466893039052</v>
      </c>
      <c r="DA112" s="509">
        <v>0.66377816291161174</v>
      </c>
      <c r="DB112" s="506">
        <v>752</v>
      </c>
      <c r="DC112" s="507">
        <v>577</v>
      </c>
      <c r="DD112" s="507">
        <v>568</v>
      </c>
      <c r="DE112" s="507">
        <v>400</v>
      </c>
      <c r="DF112" s="507">
        <v>302</v>
      </c>
      <c r="DG112" s="508">
        <f t="shared" si="146"/>
        <v>0.69324090121317161</v>
      </c>
      <c r="DH112" s="508">
        <f t="shared" si="147"/>
        <v>0.70422535211267601</v>
      </c>
      <c r="DI112" s="508">
        <v>0.69324090121317161</v>
      </c>
      <c r="DJ112" s="509">
        <v>0.70422535211267601</v>
      </c>
      <c r="DK112" s="506">
        <v>696</v>
      </c>
      <c r="DL112" s="507">
        <v>564</v>
      </c>
      <c r="DM112" s="507">
        <v>549</v>
      </c>
      <c r="DN112" s="507">
        <v>397</v>
      </c>
      <c r="DO112" s="507">
        <v>305</v>
      </c>
      <c r="DP112" s="508">
        <f t="shared" si="148"/>
        <v>0.70390070921985815</v>
      </c>
      <c r="DQ112" s="508">
        <f t="shared" si="149"/>
        <v>0.72313296903460833</v>
      </c>
      <c r="DR112" s="508">
        <v>0.84751773049645385</v>
      </c>
      <c r="DS112" s="509">
        <v>0.87067395264116576</v>
      </c>
      <c r="DT112" s="506">
        <v>806</v>
      </c>
      <c r="DU112" s="507">
        <v>638</v>
      </c>
      <c r="DV112" s="507">
        <v>631</v>
      </c>
      <c r="DW112" s="507">
        <v>430</v>
      </c>
      <c r="DX112" s="507">
        <v>311</v>
      </c>
      <c r="DY112" s="508">
        <f t="shared" si="150"/>
        <v>0.6739811912225705</v>
      </c>
      <c r="DZ112" s="508">
        <f t="shared" si="151"/>
        <v>0.68145800316957206</v>
      </c>
      <c r="EA112" s="508">
        <v>0.85266457680250785</v>
      </c>
      <c r="EB112" s="509">
        <v>0.86212361331220289</v>
      </c>
    </row>
    <row r="113" spans="1:132" s="2" customFormat="1" x14ac:dyDescent="0.25">
      <c r="A113" s="511" t="s">
        <v>312</v>
      </c>
      <c r="B113" s="512" t="s">
        <v>328</v>
      </c>
      <c r="C113" s="532" t="s">
        <v>199</v>
      </c>
      <c r="D113" s="514">
        <v>663</v>
      </c>
      <c r="E113" s="515">
        <v>543</v>
      </c>
      <c r="F113" s="515">
        <v>523</v>
      </c>
      <c r="G113" s="515">
        <v>139</v>
      </c>
      <c r="H113" s="515">
        <v>109</v>
      </c>
      <c r="I113" s="516">
        <f t="shared" si="108"/>
        <v>0.2559852670349908</v>
      </c>
      <c r="J113" s="517">
        <f t="shared" si="109"/>
        <v>0.26577437858508607</v>
      </c>
      <c r="K113" s="514">
        <v>525</v>
      </c>
      <c r="L113" s="515">
        <v>461</v>
      </c>
      <c r="M113" s="515">
        <v>427</v>
      </c>
      <c r="N113" s="515">
        <v>150</v>
      </c>
      <c r="O113" s="515">
        <v>124</v>
      </c>
      <c r="P113" s="516">
        <f t="shared" si="110"/>
        <v>0.32537960954446854</v>
      </c>
      <c r="Q113" s="517">
        <f t="shared" si="111"/>
        <v>0.35128805620608899</v>
      </c>
      <c r="R113" s="514">
        <v>538</v>
      </c>
      <c r="S113" s="515">
        <v>431</v>
      </c>
      <c r="T113" s="515">
        <v>395</v>
      </c>
      <c r="U113" s="515">
        <v>187</v>
      </c>
      <c r="V113" s="515">
        <v>157</v>
      </c>
      <c r="W113" s="516">
        <f t="shared" si="106"/>
        <v>0.43387470997679817</v>
      </c>
      <c r="X113" s="517">
        <f t="shared" si="107"/>
        <v>0.47341772151898737</v>
      </c>
      <c r="Y113" s="514">
        <v>799</v>
      </c>
      <c r="Z113" s="515">
        <v>600</v>
      </c>
      <c r="AA113" s="515">
        <v>540</v>
      </c>
      <c r="AB113" s="515">
        <v>245</v>
      </c>
      <c r="AC113" s="515">
        <v>217</v>
      </c>
      <c r="AD113" s="516">
        <f t="shared" si="112"/>
        <v>0.40833333333333333</v>
      </c>
      <c r="AE113" s="517">
        <f t="shared" si="113"/>
        <v>0.45370370370370372</v>
      </c>
      <c r="AF113" s="514" t="s">
        <v>67</v>
      </c>
      <c r="AG113" s="515" t="s">
        <v>67</v>
      </c>
      <c r="AH113" s="515" t="s">
        <v>67</v>
      </c>
      <c r="AI113" s="515" t="s">
        <v>67</v>
      </c>
      <c r="AJ113" s="515" t="s">
        <v>67</v>
      </c>
      <c r="AK113" s="516" t="s">
        <v>67</v>
      </c>
      <c r="AL113" s="517" t="s">
        <v>67</v>
      </c>
      <c r="AM113" s="514" t="s">
        <v>67</v>
      </c>
      <c r="AN113" s="515" t="s">
        <v>67</v>
      </c>
      <c r="AO113" s="515" t="s">
        <v>67</v>
      </c>
      <c r="AP113" s="515" t="s">
        <v>67</v>
      </c>
      <c r="AQ113" s="515" t="s">
        <v>67</v>
      </c>
      <c r="AR113" s="516" t="s">
        <v>67</v>
      </c>
      <c r="AS113" s="517" t="s">
        <v>67</v>
      </c>
      <c r="AT113" s="514" t="s">
        <v>67</v>
      </c>
      <c r="AU113" s="515" t="s">
        <v>67</v>
      </c>
      <c r="AV113" s="515" t="s">
        <v>67</v>
      </c>
      <c r="AW113" s="515" t="s">
        <v>67</v>
      </c>
      <c r="AX113" s="515" t="s">
        <v>67</v>
      </c>
      <c r="AY113" s="516" t="s">
        <v>67</v>
      </c>
      <c r="AZ113" s="517" t="s">
        <v>67</v>
      </c>
      <c r="BA113" s="514" t="s">
        <v>67</v>
      </c>
      <c r="BB113" s="515" t="s">
        <v>67</v>
      </c>
      <c r="BC113" s="515" t="s">
        <v>67</v>
      </c>
      <c r="BD113" s="515" t="s">
        <v>67</v>
      </c>
      <c r="BE113" s="515" t="s">
        <v>67</v>
      </c>
      <c r="BF113" s="516" t="s">
        <v>67</v>
      </c>
      <c r="BG113" s="517" t="s">
        <v>67</v>
      </c>
      <c r="BH113" s="514" t="s">
        <v>67</v>
      </c>
      <c r="BI113" s="515" t="s">
        <v>67</v>
      </c>
      <c r="BJ113" s="515" t="s">
        <v>67</v>
      </c>
      <c r="BK113" s="515" t="s">
        <v>67</v>
      </c>
      <c r="BL113" s="515" t="s">
        <v>67</v>
      </c>
      <c r="BM113" s="516" t="s">
        <v>67</v>
      </c>
      <c r="BN113" s="517" t="s">
        <v>67</v>
      </c>
      <c r="BO113" s="514" t="s">
        <v>67</v>
      </c>
      <c r="BP113" s="515" t="s">
        <v>67</v>
      </c>
      <c r="BQ113" s="515" t="s">
        <v>67</v>
      </c>
      <c r="BR113" s="515" t="s">
        <v>67</v>
      </c>
      <c r="BS113" s="515" t="s">
        <v>67</v>
      </c>
      <c r="BT113" s="516" t="s">
        <v>67</v>
      </c>
      <c r="BU113" s="517" t="s">
        <v>67</v>
      </c>
      <c r="BV113" s="514" t="s">
        <v>67</v>
      </c>
      <c r="BW113" s="515" t="s">
        <v>67</v>
      </c>
      <c r="BX113" s="515" t="s">
        <v>67</v>
      </c>
      <c r="BY113" s="515" t="s">
        <v>67</v>
      </c>
      <c r="BZ113" s="515" t="s">
        <v>67</v>
      </c>
      <c r="CA113" s="516" t="s">
        <v>67</v>
      </c>
      <c r="CB113" s="517" t="s">
        <v>67</v>
      </c>
      <c r="CC113" s="514" t="s">
        <v>67</v>
      </c>
      <c r="CD113" s="515" t="s">
        <v>67</v>
      </c>
      <c r="CE113" s="515" t="s">
        <v>67</v>
      </c>
      <c r="CF113" s="515" t="s">
        <v>67</v>
      </c>
      <c r="CG113" s="515" t="s">
        <v>67</v>
      </c>
      <c r="CH113" s="516" t="s">
        <v>67</v>
      </c>
      <c r="CI113" s="517" t="s">
        <v>67</v>
      </c>
      <c r="CJ113" s="514" t="s">
        <v>67</v>
      </c>
      <c r="CK113" s="515" t="s">
        <v>67</v>
      </c>
      <c r="CL113" s="515" t="s">
        <v>67</v>
      </c>
      <c r="CM113" s="515" t="s">
        <v>67</v>
      </c>
      <c r="CN113" s="515" t="s">
        <v>67</v>
      </c>
      <c r="CO113" s="516" t="s">
        <v>67</v>
      </c>
      <c r="CP113" s="516" t="s">
        <v>67</v>
      </c>
      <c r="CQ113" s="516" t="s">
        <v>67</v>
      </c>
      <c r="CR113" s="517" t="s">
        <v>67</v>
      </c>
      <c r="CS113" s="514" t="s">
        <v>67</v>
      </c>
      <c r="CT113" s="515" t="s">
        <v>67</v>
      </c>
      <c r="CU113" s="515" t="s">
        <v>67</v>
      </c>
      <c r="CV113" s="515" t="s">
        <v>67</v>
      </c>
      <c r="CW113" s="515" t="s">
        <v>67</v>
      </c>
      <c r="CX113" s="516" t="s">
        <v>67</v>
      </c>
      <c r="CY113" s="516" t="s">
        <v>67</v>
      </c>
      <c r="CZ113" s="516" t="s">
        <v>67</v>
      </c>
      <c r="DA113" s="517" t="s">
        <v>67</v>
      </c>
      <c r="DB113" s="514" t="s">
        <v>67</v>
      </c>
      <c r="DC113" s="515" t="s">
        <v>67</v>
      </c>
      <c r="DD113" s="515" t="s">
        <v>67</v>
      </c>
      <c r="DE113" s="515" t="s">
        <v>67</v>
      </c>
      <c r="DF113" s="515" t="s">
        <v>67</v>
      </c>
      <c r="DG113" s="516" t="s">
        <v>67</v>
      </c>
      <c r="DH113" s="516" t="s">
        <v>67</v>
      </c>
      <c r="DI113" s="516" t="s">
        <v>67</v>
      </c>
      <c r="DJ113" s="517" t="s">
        <v>67</v>
      </c>
      <c r="DK113" s="514" t="s">
        <v>67</v>
      </c>
      <c r="DL113" s="515" t="s">
        <v>67</v>
      </c>
      <c r="DM113" s="515" t="s">
        <v>67</v>
      </c>
      <c r="DN113" s="515" t="s">
        <v>67</v>
      </c>
      <c r="DO113" s="515" t="s">
        <v>67</v>
      </c>
      <c r="DP113" s="516" t="s">
        <v>67</v>
      </c>
      <c r="DQ113" s="516" t="s">
        <v>67</v>
      </c>
      <c r="DR113" s="516" t="s">
        <v>67</v>
      </c>
      <c r="DS113" s="517" t="s">
        <v>67</v>
      </c>
      <c r="DT113" s="514" t="s">
        <v>67</v>
      </c>
      <c r="DU113" s="515" t="s">
        <v>67</v>
      </c>
      <c r="DV113" s="515" t="s">
        <v>67</v>
      </c>
      <c r="DW113" s="515" t="s">
        <v>67</v>
      </c>
      <c r="DX113" s="515" t="s">
        <v>67</v>
      </c>
      <c r="DY113" s="516" t="s">
        <v>67</v>
      </c>
      <c r="DZ113" s="516" t="s">
        <v>67</v>
      </c>
      <c r="EA113" s="516" t="s">
        <v>67</v>
      </c>
      <c r="EB113" s="517" t="s">
        <v>67</v>
      </c>
    </row>
    <row r="114" spans="1:132" s="2" customFormat="1" x14ac:dyDescent="0.25">
      <c r="A114" s="533" t="s">
        <v>329</v>
      </c>
      <c r="B114" s="489" t="s">
        <v>330</v>
      </c>
      <c r="C114" s="565"/>
      <c r="D114" s="558">
        <v>6424</v>
      </c>
      <c r="E114" s="559">
        <v>5380</v>
      </c>
      <c r="F114" s="559">
        <v>4519</v>
      </c>
      <c r="G114" s="559">
        <v>3760</v>
      </c>
      <c r="H114" s="560">
        <v>2906</v>
      </c>
      <c r="I114" s="561">
        <f t="shared" si="108"/>
        <v>0.6988847583643123</v>
      </c>
      <c r="J114" s="562">
        <f t="shared" si="109"/>
        <v>0.83204248727594599</v>
      </c>
      <c r="K114" s="558">
        <v>6386</v>
      </c>
      <c r="L114" s="559">
        <v>5179</v>
      </c>
      <c r="M114" s="559">
        <v>4474</v>
      </c>
      <c r="N114" s="559">
        <v>3544</v>
      </c>
      <c r="O114" s="560">
        <v>2757</v>
      </c>
      <c r="P114" s="561">
        <f t="shared" si="110"/>
        <v>0.68430198880092685</v>
      </c>
      <c r="Q114" s="562">
        <f t="shared" si="111"/>
        <v>0.79213232007152434</v>
      </c>
      <c r="R114" s="558">
        <v>7146</v>
      </c>
      <c r="S114" s="559">
        <v>5580</v>
      </c>
      <c r="T114" s="559">
        <v>4928</v>
      </c>
      <c r="U114" s="559">
        <v>3520</v>
      </c>
      <c r="V114" s="560">
        <v>2723</v>
      </c>
      <c r="W114" s="561">
        <f t="shared" si="106"/>
        <v>0.63082437275985659</v>
      </c>
      <c r="X114" s="562">
        <f t="shared" si="107"/>
        <v>0.7142857142857143</v>
      </c>
      <c r="Y114" s="558">
        <v>6677</v>
      </c>
      <c r="Z114" s="559">
        <v>5226</v>
      </c>
      <c r="AA114" s="559">
        <v>4798</v>
      </c>
      <c r="AB114" s="559">
        <v>3574</v>
      </c>
      <c r="AC114" s="560">
        <v>2635</v>
      </c>
      <c r="AD114" s="561">
        <f t="shared" si="112"/>
        <v>0.68388825105243012</v>
      </c>
      <c r="AE114" s="562">
        <f t="shared" si="113"/>
        <v>0.74489370571071278</v>
      </c>
      <c r="AF114" s="558">
        <v>6213</v>
      </c>
      <c r="AG114" s="559">
        <v>4833</v>
      </c>
      <c r="AH114" s="559">
        <v>4397</v>
      </c>
      <c r="AI114" s="559">
        <v>3285</v>
      </c>
      <c r="AJ114" s="560">
        <v>2474</v>
      </c>
      <c r="AK114" s="561">
        <f t="shared" si="172"/>
        <v>0.67970204841713222</v>
      </c>
      <c r="AL114" s="562">
        <f t="shared" si="173"/>
        <v>0.74710029565612923</v>
      </c>
      <c r="AM114" s="558">
        <v>4983</v>
      </c>
      <c r="AN114" s="559">
        <v>3946</v>
      </c>
      <c r="AO114" s="559">
        <v>3448</v>
      </c>
      <c r="AP114" s="559">
        <v>2732</v>
      </c>
      <c r="AQ114" s="560">
        <v>2221</v>
      </c>
      <c r="AR114" s="561">
        <f t="shared" ref="AR114:AR130" si="174">AP114/AN114</f>
        <v>0.69234668018246326</v>
      </c>
      <c r="AS114" s="562">
        <f t="shared" ref="AS114:AS130" si="175">AP114/AO114</f>
        <v>0.79234338747099764</v>
      </c>
      <c r="AT114" s="558">
        <v>4637</v>
      </c>
      <c r="AU114" s="559">
        <v>3659</v>
      </c>
      <c r="AV114" s="559">
        <v>3214</v>
      </c>
      <c r="AW114" s="559">
        <v>2581</v>
      </c>
      <c r="AX114" s="560">
        <v>2041</v>
      </c>
      <c r="AY114" s="561">
        <f t="shared" ref="AY114:AY130" si="176">AW114/AU114</f>
        <v>0.70538398469527197</v>
      </c>
      <c r="AZ114" s="562">
        <f t="shared" ref="AZ114:AZ130" si="177">AW114/AV114</f>
        <v>0.80304915992532666</v>
      </c>
      <c r="BA114" s="558">
        <v>4216</v>
      </c>
      <c r="BB114" s="559">
        <v>3322</v>
      </c>
      <c r="BC114" s="559">
        <v>2925</v>
      </c>
      <c r="BD114" s="559">
        <v>2373</v>
      </c>
      <c r="BE114" s="560">
        <v>1902</v>
      </c>
      <c r="BF114" s="561">
        <f t="shared" ref="BF114:BF130" si="178">BD114/BB114</f>
        <v>0.71432871763997596</v>
      </c>
      <c r="BG114" s="562">
        <f t="shared" ref="BG114:BG130" si="179">BD114/BC114</f>
        <v>0.81128205128205133</v>
      </c>
      <c r="BH114" s="558">
        <v>3864</v>
      </c>
      <c r="BI114" s="559">
        <v>3098</v>
      </c>
      <c r="BJ114" s="559">
        <v>2769</v>
      </c>
      <c r="BK114" s="559">
        <v>2371</v>
      </c>
      <c r="BL114" s="560">
        <v>1888</v>
      </c>
      <c r="BM114" s="561">
        <f t="shared" ref="BM114:BM121" si="180">BK114/BI114</f>
        <v>0.76533247256294379</v>
      </c>
      <c r="BN114" s="562">
        <f t="shared" ref="BN114:BN121" si="181">BK114/BJ114</f>
        <v>0.85626579992777174</v>
      </c>
      <c r="BO114" s="558">
        <v>3787</v>
      </c>
      <c r="BP114" s="559">
        <v>3065</v>
      </c>
      <c r="BQ114" s="559">
        <v>2762</v>
      </c>
      <c r="BR114" s="559">
        <v>2331</v>
      </c>
      <c r="BS114" s="560">
        <v>1883</v>
      </c>
      <c r="BT114" s="561">
        <f t="shared" ref="BT114:BT121" si="182">BR114/BP114</f>
        <v>0.76052202283849923</v>
      </c>
      <c r="BU114" s="562">
        <f t="shared" ref="BU114:BU121" si="183">BR114/BQ114</f>
        <v>0.8439536567704562</v>
      </c>
      <c r="BV114" s="558">
        <v>4595</v>
      </c>
      <c r="BW114" s="559">
        <v>3249</v>
      </c>
      <c r="BX114" s="559">
        <v>3013</v>
      </c>
      <c r="BY114" s="559">
        <v>2522</v>
      </c>
      <c r="BZ114" s="560">
        <v>2091</v>
      </c>
      <c r="CA114" s="561">
        <f t="shared" ref="CA114:CA121" si="184">BY114/BW114</f>
        <v>0.77623884272083721</v>
      </c>
      <c r="CB114" s="562">
        <f t="shared" ref="CB114:CB121" si="185">BY114/BX114</f>
        <v>0.83703949551941581</v>
      </c>
      <c r="CC114" s="558">
        <v>4414</v>
      </c>
      <c r="CD114" s="559">
        <v>3496</v>
      </c>
      <c r="CE114" s="559">
        <v>3229</v>
      </c>
      <c r="CF114" s="559">
        <v>2387</v>
      </c>
      <c r="CG114" s="560">
        <v>1890</v>
      </c>
      <c r="CH114" s="561">
        <f t="shared" ref="CH114:CH121" si="186">CF114/CD114</f>
        <v>0.68278032036613268</v>
      </c>
      <c r="CI114" s="562">
        <f t="shared" ref="CI114:CI121" si="187">CF114/CE114</f>
        <v>0.73923815422731498</v>
      </c>
      <c r="CJ114" s="558">
        <v>5162</v>
      </c>
      <c r="CK114" s="559">
        <v>4024</v>
      </c>
      <c r="CL114" s="559">
        <v>3940</v>
      </c>
      <c r="CM114" s="559">
        <v>2501</v>
      </c>
      <c r="CN114" s="560">
        <v>1889</v>
      </c>
      <c r="CO114" s="561">
        <f t="shared" ref="CO114:CO121" si="188">CM114/CK114</f>
        <v>0.62152087475149109</v>
      </c>
      <c r="CP114" s="664">
        <f t="shared" ref="CP114:CP121" si="189">CM114/CL114</f>
        <v>0.63477157360406089</v>
      </c>
      <c r="CQ114" s="561">
        <v>0.66575546719681911</v>
      </c>
      <c r="CR114" s="562">
        <v>0.67994923857868017</v>
      </c>
      <c r="CS114" s="558">
        <v>4964</v>
      </c>
      <c r="CT114" s="559">
        <v>3739</v>
      </c>
      <c r="CU114" s="559">
        <v>3383</v>
      </c>
      <c r="CV114" s="559">
        <v>2367</v>
      </c>
      <c r="CW114" s="560">
        <v>1868</v>
      </c>
      <c r="CX114" s="561">
        <f t="shared" ref="CX114:CX121" si="190">CV114/CT114</f>
        <v>0.63305696710350357</v>
      </c>
      <c r="CY114" s="664">
        <f t="shared" ref="CY114:CY121" si="191">CV114/CU114</f>
        <v>0.6996748448122968</v>
      </c>
      <c r="CZ114" s="561">
        <v>0.71917625033431398</v>
      </c>
      <c r="DA114" s="562">
        <v>0.79485663612178536</v>
      </c>
      <c r="DB114" s="558">
        <v>4827</v>
      </c>
      <c r="DC114" s="559">
        <v>3676</v>
      </c>
      <c r="DD114" s="559">
        <v>3573</v>
      </c>
      <c r="DE114" s="559">
        <v>2417</v>
      </c>
      <c r="DF114" s="560">
        <v>1917</v>
      </c>
      <c r="DG114" s="561">
        <f t="shared" ref="DG114:DG121" si="192">DE114/DC114</f>
        <v>0.65750816104461374</v>
      </c>
      <c r="DH114" s="664">
        <f t="shared" ref="DH114:DH121" si="193">DE114/DD114</f>
        <v>0.67646235656311227</v>
      </c>
      <c r="DI114" s="561">
        <v>0.72905331882480962</v>
      </c>
      <c r="DJ114" s="562">
        <v>0.75006996921354607</v>
      </c>
      <c r="DK114" s="558">
        <v>5787</v>
      </c>
      <c r="DL114" s="559">
        <v>4199</v>
      </c>
      <c r="DM114" s="559">
        <v>4074</v>
      </c>
      <c r="DN114" s="559">
        <v>2586</v>
      </c>
      <c r="DO114" s="560">
        <v>2019</v>
      </c>
      <c r="DP114" s="561">
        <f t="shared" ref="DP114:DP121" si="194">DN114/DL114</f>
        <v>0.615860919266492</v>
      </c>
      <c r="DQ114" s="664">
        <f t="shared" ref="DQ114:DQ121" si="195">DN114/DM114</f>
        <v>0.63475699558173782</v>
      </c>
      <c r="DR114" s="561">
        <v>0.68301976661109787</v>
      </c>
      <c r="DS114" s="562">
        <v>0.70397643593519887</v>
      </c>
      <c r="DT114" s="558">
        <v>5372</v>
      </c>
      <c r="DU114" s="559">
        <v>3965</v>
      </c>
      <c r="DV114" s="559">
        <v>3743</v>
      </c>
      <c r="DW114" s="559">
        <v>2668</v>
      </c>
      <c r="DX114" s="560">
        <v>2046</v>
      </c>
      <c r="DY114" s="561">
        <f t="shared" ref="DY114:DY121" si="196">DW114/DU114</f>
        <v>0.67288776796973515</v>
      </c>
      <c r="DZ114" s="664">
        <f t="shared" ref="DZ114:DZ121" si="197">DW114/DV114</f>
        <v>0.71279722148009617</v>
      </c>
      <c r="EA114" s="561">
        <v>0.72433795712484239</v>
      </c>
      <c r="EB114" s="562">
        <v>0.76729895805503612</v>
      </c>
    </row>
    <row r="115" spans="1:132" s="2" customFormat="1" x14ac:dyDescent="0.25">
      <c r="A115" s="554" t="s">
        <v>329</v>
      </c>
      <c r="B115" s="555" t="s">
        <v>331</v>
      </c>
      <c r="C115" s="556" t="s">
        <v>287</v>
      </c>
      <c r="D115" s="499">
        <v>982</v>
      </c>
      <c r="E115" s="500">
        <v>981</v>
      </c>
      <c r="F115" s="500">
        <v>839</v>
      </c>
      <c r="G115" s="500">
        <v>834</v>
      </c>
      <c r="H115" s="500">
        <v>682</v>
      </c>
      <c r="I115" s="501">
        <f t="shared" si="108"/>
        <v>0.85015290519877673</v>
      </c>
      <c r="J115" s="502">
        <f t="shared" si="109"/>
        <v>0.99404052443384983</v>
      </c>
      <c r="K115" s="499">
        <v>661</v>
      </c>
      <c r="L115" s="500">
        <v>657</v>
      </c>
      <c r="M115" s="500">
        <v>599</v>
      </c>
      <c r="N115" s="500">
        <v>585</v>
      </c>
      <c r="O115" s="500">
        <v>515</v>
      </c>
      <c r="P115" s="501">
        <f t="shared" si="110"/>
        <v>0.8904109589041096</v>
      </c>
      <c r="Q115" s="502">
        <f t="shared" si="111"/>
        <v>0.97662771285475791</v>
      </c>
      <c r="R115" s="499">
        <v>832</v>
      </c>
      <c r="S115" s="500">
        <v>809</v>
      </c>
      <c r="T115" s="500">
        <v>718</v>
      </c>
      <c r="U115" s="500">
        <v>718</v>
      </c>
      <c r="V115" s="500">
        <v>629</v>
      </c>
      <c r="W115" s="501">
        <f t="shared" si="106"/>
        <v>0.8875154511742892</v>
      </c>
      <c r="X115" s="502">
        <f t="shared" si="107"/>
        <v>1</v>
      </c>
      <c r="Y115" s="499">
        <v>749</v>
      </c>
      <c r="Z115" s="500">
        <v>746</v>
      </c>
      <c r="AA115" s="500">
        <v>736</v>
      </c>
      <c r="AB115" s="500">
        <v>736</v>
      </c>
      <c r="AC115" s="500">
        <v>547</v>
      </c>
      <c r="AD115" s="501">
        <f t="shared" si="112"/>
        <v>0.98659517426273458</v>
      </c>
      <c r="AE115" s="502">
        <f t="shared" si="113"/>
        <v>1</v>
      </c>
      <c r="AF115" s="499">
        <v>789</v>
      </c>
      <c r="AG115" s="500">
        <v>779</v>
      </c>
      <c r="AH115" s="500">
        <v>768</v>
      </c>
      <c r="AI115" s="500">
        <v>691</v>
      </c>
      <c r="AJ115" s="500">
        <v>563</v>
      </c>
      <c r="AK115" s="501">
        <f t="shared" si="172"/>
        <v>0.8870346598202824</v>
      </c>
      <c r="AL115" s="502">
        <f t="shared" si="173"/>
        <v>0.89973958333333337</v>
      </c>
      <c r="AM115" s="499">
        <v>576</v>
      </c>
      <c r="AN115" s="500">
        <v>573</v>
      </c>
      <c r="AO115" s="500">
        <v>490</v>
      </c>
      <c r="AP115" s="500">
        <v>490</v>
      </c>
      <c r="AQ115" s="500">
        <v>395</v>
      </c>
      <c r="AR115" s="501">
        <f t="shared" si="174"/>
        <v>0.85514834205933687</v>
      </c>
      <c r="AS115" s="502">
        <f t="shared" si="175"/>
        <v>1</v>
      </c>
      <c r="AT115" s="499">
        <v>559</v>
      </c>
      <c r="AU115" s="500">
        <v>552</v>
      </c>
      <c r="AV115" s="500">
        <v>486</v>
      </c>
      <c r="AW115" s="500">
        <v>486</v>
      </c>
      <c r="AX115" s="500">
        <v>401</v>
      </c>
      <c r="AY115" s="501">
        <f t="shared" si="176"/>
        <v>0.88043478260869568</v>
      </c>
      <c r="AZ115" s="502">
        <f t="shared" si="177"/>
        <v>1</v>
      </c>
      <c r="BA115" s="499">
        <v>489</v>
      </c>
      <c r="BB115" s="500">
        <v>482</v>
      </c>
      <c r="BC115" s="500">
        <v>402</v>
      </c>
      <c r="BD115" s="500">
        <v>402</v>
      </c>
      <c r="BE115" s="500">
        <v>328</v>
      </c>
      <c r="BF115" s="501">
        <f t="shared" si="178"/>
        <v>0.8340248962655602</v>
      </c>
      <c r="BG115" s="502">
        <f t="shared" si="179"/>
        <v>1</v>
      </c>
      <c r="BH115" s="499">
        <v>463</v>
      </c>
      <c r="BI115" s="500">
        <v>463</v>
      </c>
      <c r="BJ115" s="500">
        <v>397</v>
      </c>
      <c r="BK115" s="500">
        <v>397</v>
      </c>
      <c r="BL115" s="500">
        <v>309</v>
      </c>
      <c r="BM115" s="501">
        <f t="shared" si="180"/>
        <v>0.85745140388768903</v>
      </c>
      <c r="BN115" s="502">
        <f t="shared" si="181"/>
        <v>1</v>
      </c>
      <c r="BO115" s="499">
        <v>411</v>
      </c>
      <c r="BP115" s="500">
        <v>411</v>
      </c>
      <c r="BQ115" s="500">
        <v>337</v>
      </c>
      <c r="BR115" s="500">
        <v>337</v>
      </c>
      <c r="BS115" s="500">
        <v>281</v>
      </c>
      <c r="BT115" s="501">
        <f t="shared" si="182"/>
        <v>0.81995133819951338</v>
      </c>
      <c r="BU115" s="502">
        <f t="shared" si="183"/>
        <v>1</v>
      </c>
      <c r="BV115" s="499">
        <v>429</v>
      </c>
      <c r="BW115" s="500">
        <v>428</v>
      </c>
      <c r="BX115" s="500">
        <v>368</v>
      </c>
      <c r="BY115" s="500">
        <v>367</v>
      </c>
      <c r="BZ115" s="500">
        <v>322</v>
      </c>
      <c r="CA115" s="501">
        <f t="shared" si="184"/>
        <v>0.85747663551401865</v>
      </c>
      <c r="CB115" s="502">
        <f t="shared" si="185"/>
        <v>0.99728260869565222</v>
      </c>
      <c r="CC115" s="499">
        <v>391</v>
      </c>
      <c r="CD115" s="500">
        <v>385</v>
      </c>
      <c r="CE115" s="500">
        <v>319</v>
      </c>
      <c r="CF115" s="500">
        <v>319</v>
      </c>
      <c r="CG115" s="500">
        <v>277</v>
      </c>
      <c r="CH115" s="501">
        <f t="shared" si="186"/>
        <v>0.82857142857142863</v>
      </c>
      <c r="CI115" s="502">
        <f t="shared" si="187"/>
        <v>1</v>
      </c>
      <c r="CJ115" s="499">
        <v>375</v>
      </c>
      <c r="CK115" s="500">
        <v>372</v>
      </c>
      <c r="CL115" s="500">
        <v>362</v>
      </c>
      <c r="CM115" s="500">
        <v>362</v>
      </c>
      <c r="CN115" s="500">
        <v>246</v>
      </c>
      <c r="CO115" s="501">
        <f t="shared" si="188"/>
        <v>0.9731182795698925</v>
      </c>
      <c r="CP115" s="501">
        <f t="shared" si="189"/>
        <v>1</v>
      </c>
      <c r="CQ115" s="501">
        <v>0.9731182795698925</v>
      </c>
      <c r="CR115" s="502">
        <v>1</v>
      </c>
      <c r="CS115" s="499">
        <v>382</v>
      </c>
      <c r="CT115" s="500">
        <v>380</v>
      </c>
      <c r="CU115" s="500">
        <v>315</v>
      </c>
      <c r="CV115" s="500">
        <v>315</v>
      </c>
      <c r="CW115" s="500">
        <v>275</v>
      </c>
      <c r="CX115" s="501">
        <f t="shared" si="190"/>
        <v>0.82894736842105265</v>
      </c>
      <c r="CY115" s="501">
        <f t="shared" si="191"/>
        <v>1</v>
      </c>
      <c r="CZ115" s="501">
        <v>0.82894736842105265</v>
      </c>
      <c r="DA115" s="502">
        <v>1</v>
      </c>
      <c r="DB115" s="499">
        <v>333</v>
      </c>
      <c r="DC115" s="500">
        <v>331</v>
      </c>
      <c r="DD115" s="500">
        <v>269</v>
      </c>
      <c r="DE115" s="500">
        <v>264</v>
      </c>
      <c r="DF115" s="500">
        <v>212</v>
      </c>
      <c r="DG115" s="501">
        <f t="shared" si="192"/>
        <v>0.797583081570997</v>
      </c>
      <c r="DH115" s="501">
        <f t="shared" si="193"/>
        <v>0.98141263940520451</v>
      </c>
      <c r="DI115" s="501">
        <v>0.797583081570997</v>
      </c>
      <c r="DJ115" s="502">
        <v>0.98141263940520451</v>
      </c>
      <c r="DK115" s="499">
        <v>441</v>
      </c>
      <c r="DL115" s="500">
        <v>437</v>
      </c>
      <c r="DM115" s="500">
        <v>364</v>
      </c>
      <c r="DN115" s="500">
        <v>361</v>
      </c>
      <c r="DO115" s="500">
        <v>296</v>
      </c>
      <c r="DP115" s="501">
        <f t="shared" si="194"/>
        <v>0.82608695652173914</v>
      </c>
      <c r="DQ115" s="501">
        <f t="shared" si="195"/>
        <v>0.99175824175824179</v>
      </c>
      <c r="DR115" s="501">
        <v>0.82608695652173914</v>
      </c>
      <c r="DS115" s="502">
        <v>0.99175824175824179</v>
      </c>
      <c r="DT115" s="499">
        <v>397</v>
      </c>
      <c r="DU115" s="500">
        <v>392</v>
      </c>
      <c r="DV115" s="500">
        <v>326</v>
      </c>
      <c r="DW115" s="500">
        <v>322</v>
      </c>
      <c r="DX115" s="500">
        <v>258</v>
      </c>
      <c r="DY115" s="501">
        <f t="shared" si="196"/>
        <v>0.8214285714285714</v>
      </c>
      <c r="DZ115" s="501">
        <f t="shared" si="197"/>
        <v>0.98773006134969321</v>
      </c>
      <c r="EA115" s="501">
        <v>0.8214285714285714</v>
      </c>
      <c r="EB115" s="502">
        <v>0.98773006134969321</v>
      </c>
    </row>
    <row r="116" spans="1:132" s="2" customFormat="1" x14ac:dyDescent="0.25">
      <c r="A116" s="503" t="s">
        <v>329</v>
      </c>
      <c r="B116" s="504" t="s">
        <v>332</v>
      </c>
      <c r="C116" s="505" t="s">
        <v>333</v>
      </c>
      <c r="D116" s="506">
        <v>449</v>
      </c>
      <c r="E116" s="507">
        <v>447</v>
      </c>
      <c r="F116" s="507">
        <v>330</v>
      </c>
      <c r="G116" s="507">
        <v>286</v>
      </c>
      <c r="H116" s="507">
        <v>226</v>
      </c>
      <c r="I116" s="508">
        <f t="shared" si="108"/>
        <v>0.63982102908277405</v>
      </c>
      <c r="J116" s="509">
        <f t="shared" si="109"/>
        <v>0.8666666666666667</v>
      </c>
      <c r="K116" s="506">
        <v>388</v>
      </c>
      <c r="L116" s="507">
        <v>388</v>
      </c>
      <c r="M116" s="507">
        <v>310</v>
      </c>
      <c r="N116" s="507">
        <v>277</v>
      </c>
      <c r="O116" s="507">
        <v>239</v>
      </c>
      <c r="P116" s="508">
        <f t="shared" si="110"/>
        <v>0.71391752577319589</v>
      </c>
      <c r="Q116" s="509">
        <f t="shared" si="111"/>
        <v>0.8935483870967742</v>
      </c>
      <c r="R116" s="506">
        <v>391</v>
      </c>
      <c r="S116" s="507">
        <v>387</v>
      </c>
      <c r="T116" s="507">
        <v>303</v>
      </c>
      <c r="U116" s="507">
        <v>268</v>
      </c>
      <c r="V116" s="507">
        <v>226</v>
      </c>
      <c r="W116" s="508">
        <f t="shared" si="106"/>
        <v>0.69250645994832039</v>
      </c>
      <c r="X116" s="509">
        <f t="shared" si="107"/>
        <v>0.88448844884488453</v>
      </c>
      <c r="Y116" s="506">
        <v>420</v>
      </c>
      <c r="Z116" s="507">
        <v>413</v>
      </c>
      <c r="AA116" s="507">
        <v>321</v>
      </c>
      <c r="AB116" s="507">
        <v>282</v>
      </c>
      <c r="AC116" s="507">
        <v>239</v>
      </c>
      <c r="AD116" s="508">
        <f t="shared" si="112"/>
        <v>0.68280871670702181</v>
      </c>
      <c r="AE116" s="509">
        <f t="shared" si="113"/>
        <v>0.87850467289719625</v>
      </c>
      <c r="AF116" s="506">
        <v>343</v>
      </c>
      <c r="AG116" s="507">
        <v>340</v>
      </c>
      <c r="AH116" s="507">
        <v>253</v>
      </c>
      <c r="AI116" s="507">
        <v>231</v>
      </c>
      <c r="AJ116" s="507">
        <v>194</v>
      </c>
      <c r="AK116" s="508">
        <f t="shared" si="172"/>
        <v>0.67941176470588238</v>
      </c>
      <c r="AL116" s="509">
        <f t="shared" si="173"/>
        <v>0.91304347826086951</v>
      </c>
      <c r="AM116" s="506">
        <v>334</v>
      </c>
      <c r="AN116" s="507">
        <v>324</v>
      </c>
      <c r="AO116" s="507">
        <v>260</v>
      </c>
      <c r="AP116" s="507">
        <v>221</v>
      </c>
      <c r="AQ116" s="507">
        <v>179</v>
      </c>
      <c r="AR116" s="508">
        <f t="shared" si="174"/>
        <v>0.6820987654320988</v>
      </c>
      <c r="AS116" s="509">
        <f t="shared" si="175"/>
        <v>0.85</v>
      </c>
      <c r="AT116" s="506">
        <v>321</v>
      </c>
      <c r="AU116" s="507">
        <v>308</v>
      </c>
      <c r="AV116" s="507">
        <v>243</v>
      </c>
      <c r="AW116" s="507">
        <v>210</v>
      </c>
      <c r="AX116" s="507">
        <v>166</v>
      </c>
      <c r="AY116" s="508">
        <f t="shared" si="176"/>
        <v>0.68181818181818177</v>
      </c>
      <c r="AZ116" s="509">
        <f t="shared" si="177"/>
        <v>0.86419753086419748</v>
      </c>
      <c r="BA116" s="506">
        <v>310</v>
      </c>
      <c r="BB116" s="507">
        <v>299</v>
      </c>
      <c r="BC116" s="507">
        <v>247</v>
      </c>
      <c r="BD116" s="507">
        <v>178</v>
      </c>
      <c r="BE116" s="507">
        <v>150</v>
      </c>
      <c r="BF116" s="508">
        <f t="shared" si="178"/>
        <v>0.59531772575250841</v>
      </c>
      <c r="BG116" s="509">
        <f t="shared" si="179"/>
        <v>0.72064777327935226</v>
      </c>
      <c r="BH116" s="506">
        <v>282</v>
      </c>
      <c r="BI116" s="507">
        <v>260</v>
      </c>
      <c r="BJ116" s="507">
        <v>221</v>
      </c>
      <c r="BK116" s="507">
        <v>176</v>
      </c>
      <c r="BL116" s="507">
        <v>148</v>
      </c>
      <c r="BM116" s="508">
        <f t="shared" si="180"/>
        <v>0.67692307692307696</v>
      </c>
      <c r="BN116" s="509">
        <f t="shared" si="181"/>
        <v>0.7963800904977375</v>
      </c>
      <c r="BO116" s="506">
        <v>267</v>
      </c>
      <c r="BP116" s="507">
        <v>257</v>
      </c>
      <c r="BQ116" s="507">
        <v>227</v>
      </c>
      <c r="BR116" s="507">
        <v>183</v>
      </c>
      <c r="BS116" s="507">
        <v>152</v>
      </c>
      <c r="BT116" s="508">
        <f t="shared" si="182"/>
        <v>0.71206225680933855</v>
      </c>
      <c r="BU116" s="509">
        <f t="shared" si="183"/>
        <v>0.80616740088105732</v>
      </c>
      <c r="BV116" s="506">
        <v>258</v>
      </c>
      <c r="BW116" s="507">
        <v>248</v>
      </c>
      <c r="BX116" s="507">
        <v>215</v>
      </c>
      <c r="BY116" s="507">
        <v>164</v>
      </c>
      <c r="BZ116" s="507">
        <v>142</v>
      </c>
      <c r="CA116" s="508">
        <f t="shared" si="184"/>
        <v>0.66129032258064513</v>
      </c>
      <c r="CB116" s="509">
        <f t="shared" si="185"/>
        <v>0.76279069767441865</v>
      </c>
      <c r="CC116" s="506">
        <v>258</v>
      </c>
      <c r="CD116" s="507">
        <v>247</v>
      </c>
      <c r="CE116" s="507">
        <v>193</v>
      </c>
      <c r="CF116" s="507">
        <v>169</v>
      </c>
      <c r="CG116" s="507">
        <v>138</v>
      </c>
      <c r="CH116" s="508">
        <f t="shared" si="186"/>
        <v>0.68421052631578949</v>
      </c>
      <c r="CI116" s="509">
        <f t="shared" si="187"/>
        <v>0.87564766839378239</v>
      </c>
      <c r="CJ116" s="506">
        <v>258</v>
      </c>
      <c r="CK116" s="507">
        <v>249</v>
      </c>
      <c r="CL116" s="507">
        <v>219</v>
      </c>
      <c r="CM116" s="507">
        <v>163</v>
      </c>
      <c r="CN116" s="507">
        <v>154</v>
      </c>
      <c r="CO116" s="508">
        <f t="shared" si="188"/>
        <v>0.65461847389558236</v>
      </c>
      <c r="CP116" s="508">
        <f t="shared" si="189"/>
        <v>0.74429223744292239</v>
      </c>
      <c r="CQ116" s="508">
        <v>0.82329317269076308</v>
      </c>
      <c r="CR116" s="509">
        <v>0.9360730593607306</v>
      </c>
      <c r="CS116" s="506">
        <v>273</v>
      </c>
      <c r="CT116" s="507">
        <v>264</v>
      </c>
      <c r="CU116" s="507">
        <v>221</v>
      </c>
      <c r="CV116" s="507">
        <v>174</v>
      </c>
      <c r="CW116" s="507">
        <v>143</v>
      </c>
      <c r="CX116" s="508">
        <f t="shared" si="190"/>
        <v>0.65909090909090906</v>
      </c>
      <c r="CY116" s="508">
        <f t="shared" si="191"/>
        <v>0.78733031674208143</v>
      </c>
      <c r="CZ116" s="508">
        <v>0.75378787878787878</v>
      </c>
      <c r="DA116" s="509">
        <v>0.90045248868778283</v>
      </c>
      <c r="DB116" s="506">
        <v>261</v>
      </c>
      <c r="DC116" s="507">
        <v>237</v>
      </c>
      <c r="DD116" s="507">
        <v>202</v>
      </c>
      <c r="DE116" s="507">
        <v>128</v>
      </c>
      <c r="DF116" s="507">
        <v>106</v>
      </c>
      <c r="DG116" s="508">
        <f t="shared" si="192"/>
        <v>0.54008438818565396</v>
      </c>
      <c r="DH116" s="508">
        <f t="shared" si="193"/>
        <v>0.63366336633663367</v>
      </c>
      <c r="DI116" s="508">
        <v>0.65822784810126578</v>
      </c>
      <c r="DJ116" s="509">
        <v>0.7722772277227723</v>
      </c>
      <c r="DK116" s="506">
        <v>272</v>
      </c>
      <c r="DL116" s="507">
        <v>258</v>
      </c>
      <c r="DM116" s="507">
        <v>213</v>
      </c>
      <c r="DN116" s="507">
        <v>164</v>
      </c>
      <c r="DO116" s="507">
        <v>136</v>
      </c>
      <c r="DP116" s="508">
        <f t="shared" si="194"/>
        <v>0.63565891472868219</v>
      </c>
      <c r="DQ116" s="508">
        <f t="shared" si="195"/>
        <v>0.7699530516431925</v>
      </c>
      <c r="DR116" s="508">
        <v>0.79069767441860461</v>
      </c>
      <c r="DS116" s="509">
        <v>0.95774647887323938</v>
      </c>
      <c r="DT116" s="506">
        <v>363</v>
      </c>
      <c r="DU116" s="507">
        <v>333</v>
      </c>
      <c r="DV116" s="507">
        <v>296</v>
      </c>
      <c r="DW116" s="507">
        <v>209</v>
      </c>
      <c r="DX116" s="507">
        <v>172</v>
      </c>
      <c r="DY116" s="508">
        <f t="shared" si="196"/>
        <v>0.62762762762762758</v>
      </c>
      <c r="DZ116" s="508">
        <f t="shared" si="197"/>
        <v>0.70608108108108103</v>
      </c>
      <c r="EA116" s="508">
        <v>0.8288288288288288</v>
      </c>
      <c r="EB116" s="509">
        <v>0.93243243243243246</v>
      </c>
    </row>
    <row r="117" spans="1:132" s="2" customFormat="1" x14ac:dyDescent="0.25">
      <c r="A117" s="503" t="s">
        <v>329</v>
      </c>
      <c r="B117" s="504" t="s">
        <v>334</v>
      </c>
      <c r="C117" s="505" t="s">
        <v>195</v>
      </c>
      <c r="D117" s="506">
        <v>1415</v>
      </c>
      <c r="E117" s="507">
        <v>1206</v>
      </c>
      <c r="F117" s="507">
        <v>893</v>
      </c>
      <c r="G117" s="507">
        <v>670</v>
      </c>
      <c r="H117" s="507">
        <v>476</v>
      </c>
      <c r="I117" s="508">
        <f t="shared" si="108"/>
        <v>0.55555555555555558</v>
      </c>
      <c r="J117" s="509">
        <f t="shared" si="109"/>
        <v>0.75027995520716684</v>
      </c>
      <c r="K117" s="506">
        <v>1966</v>
      </c>
      <c r="L117" s="507">
        <v>1560</v>
      </c>
      <c r="M117" s="507">
        <v>1231</v>
      </c>
      <c r="N117" s="507">
        <v>761</v>
      </c>
      <c r="O117" s="507">
        <v>530</v>
      </c>
      <c r="P117" s="508">
        <f t="shared" si="110"/>
        <v>0.48782051282051281</v>
      </c>
      <c r="Q117" s="509">
        <f t="shared" si="111"/>
        <v>0.61819658813972378</v>
      </c>
      <c r="R117" s="506">
        <v>1953</v>
      </c>
      <c r="S117" s="507">
        <v>1531</v>
      </c>
      <c r="T117" s="507">
        <v>1226</v>
      </c>
      <c r="U117" s="507">
        <v>646</v>
      </c>
      <c r="V117" s="507">
        <v>475</v>
      </c>
      <c r="W117" s="508">
        <f t="shared" si="106"/>
        <v>0.42194644023514044</v>
      </c>
      <c r="X117" s="509">
        <f t="shared" si="107"/>
        <v>0.5269168026101142</v>
      </c>
      <c r="Y117" s="506">
        <v>1859</v>
      </c>
      <c r="Z117" s="507">
        <v>1445</v>
      </c>
      <c r="AA117" s="507">
        <v>1261</v>
      </c>
      <c r="AB117" s="507">
        <v>720</v>
      </c>
      <c r="AC117" s="507">
        <v>471</v>
      </c>
      <c r="AD117" s="508">
        <f t="shared" si="112"/>
        <v>0.4982698961937716</v>
      </c>
      <c r="AE117" s="509">
        <f t="shared" si="113"/>
        <v>0.57097541633624105</v>
      </c>
      <c r="AF117" s="506">
        <v>1635</v>
      </c>
      <c r="AG117" s="507">
        <v>1255</v>
      </c>
      <c r="AH117" s="507">
        <v>1015</v>
      </c>
      <c r="AI117" s="507">
        <v>647</v>
      </c>
      <c r="AJ117" s="507">
        <v>426</v>
      </c>
      <c r="AK117" s="508">
        <f t="shared" si="172"/>
        <v>0.51553784860557772</v>
      </c>
      <c r="AL117" s="509">
        <f t="shared" si="173"/>
        <v>0.63743842364532022</v>
      </c>
      <c r="AM117" s="506">
        <v>1241</v>
      </c>
      <c r="AN117" s="507">
        <v>950</v>
      </c>
      <c r="AO117" s="507">
        <v>737</v>
      </c>
      <c r="AP117" s="507">
        <v>575</v>
      </c>
      <c r="AQ117" s="507">
        <v>443</v>
      </c>
      <c r="AR117" s="508">
        <f t="shared" si="174"/>
        <v>0.60526315789473684</v>
      </c>
      <c r="AS117" s="509">
        <f t="shared" si="175"/>
        <v>0.78018995929443691</v>
      </c>
      <c r="AT117" s="506">
        <v>1173</v>
      </c>
      <c r="AU117" s="507">
        <v>875</v>
      </c>
      <c r="AV117" s="507">
        <v>681</v>
      </c>
      <c r="AW117" s="507">
        <v>530</v>
      </c>
      <c r="AX117" s="507">
        <v>411</v>
      </c>
      <c r="AY117" s="508">
        <f t="shared" si="176"/>
        <v>0.60571428571428576</v>
      </c>
      <c r="AZ117" s="509">
        <f t="shared" si="177"/>
        <v>0.7782672540381792</v>
      </c>
      <c r="BA117" s="506">
        <v>1071</v>
      </c>
      <c r="BB117" s="507">
        <v>804</v>
      </c>
      <c r="BC117" s="507">
        <v>607</v>
      </c>
      <c r="BD117" s="507">
        <v>477</v>
      </c>
      <c r="BE117" s="507">
        <v>374</v>
      </c>
      <c r="BF117" s="508">
        <f t="shared" si="178"/>
        <v>0.59328358208955223</v>
      </c>
      <c r="BG117" s="509">
        <f t="shared" si="179"/>
        <v>0.78583196046128501</v>
      </c>
      <c r="BH117" s="506">
        <v>863</v>
      </c>
      <c r="BI117" s="507">
        <v>672</v>
      </c>
      <c r="BJ117" s="507">
        <v>535</v>
      </c>
      <c r="BK117" s="507">
        <v>475</v>
      </c>
      <c r="BL117" s="507">
        <v>377</v>
      </c>
      <c r="BM117" s="508">
        <f t="shared" si="180"/>
        <v>0.70684523809523814</v>
      </c>
      <c r="BN117" s="509">
        <f t="shared" si="181"/>
        <v>0.88785046728971961</v>
      </c>
      <c r="BO117" s="506">
        <v>824</v>
      </c>
      <c r="BP117" s="507">
        <v>651</v>
      </c>
      <c r="BQ117" s="507">
        <v>522</v>
      </c>
      <c r="BR117" s="507">
        <v>453</v>
      </c>
      <c r="BS117" s="507">
        <v>347</v>
      </c>
      <c r="BT117" s="508">
        <f t="shared" si="182"/>
        <v>0.69585253456221197</v>
      </c>
      <c r="BU117" s="509">
        <f t="shared" si="183"/>
        <v>0.86781609195402298</v>
      </c>
      <c r="BV117" s="506">
        <v>729</v>
      </c>
      <c r="BW117" s="507">
        <v>565</v>
      </c>
      <c r="BX117" s="507">
        <v>438</v>
      </c>
      <c r="BY117" s="507">
        <v>392</v>
      </c>
      <c r="BZ117" s="507">
        <v>324</v>
      </c>
      <c r="CA117" s="508">
        <f t="shared" si="184"/>
        <v>0.69380530973451326</v>
      </c>
      <c r="CB117" s="509">
        <f t="shared" si="185"/>
        <v>0.89497716894977164</v>
      </c>
      <c r="CC117" s="506">
        <v>776</v>
      </c>
      <c r="CD117" s="507">
        <v>599</v>
      </c>
      <c r="CE117" s="507">
        <v>407</v>
      </c>
      <c r="CF117" s="507">
        <v>400</v>
      </c>
      <c r="CG117" s="507">
        <v>342</v>
      </c>
      <c r="CH117" s="508">
        <f t="shared" si="186"/>
        <v>0.667779632721202</v>
      </c>
      <c r="CI117" s="509">
        <f t="shared" si="187"/>
        <v>0.98280098280098283</v>
      </c>
      <c r="CJ117" s="506">
        <v>932</v>
      </c>
      <c r="CK117" s="507">
        <v>711</v>
      </c>
      <c r="CL117" s="507">
        <v>693</v>
      </c>
      <c r="CM117" s="507">
        <v>520</v>
      </c>
      <c r="CN117" s="507">
        <v>376</v>
      </c>
      <c r="CO117" s="508">
        <f t="shared" si="188"/>
        <v>0.73136427566807316</v>
      </c>
      <c r="CP117" s="508">
        <f t="shared" si="189"/>
        <v>0.75036075036075034</v>
      </c>
      <c r="CQ117" s="508">
        <v>0.73136427566807316</v>
      </c>
      <c r="CR117" s="509">
        <v>0.75036075036075034</v>
      </c>
      <c r="CS117" s="506">
        <v>1028</v>
      </c>
      <c r="CT117" s="507">
        <v>773</v>
      </c>
      <c r="CU117" s="507">
        <v>773</v>
      </c>
      <c r="CV117" s="507">
        <v>509</v>
      </c>
      <c r="CW117" s="507">
        <v>395</v>
      </c>
      <c r="CX117" s="508">
        <f t="shared" si="190"/>
        <v>0.65847347994825356</v>
      </c>
      <c r="CY117" s="508">
        <f t="shared" si="191"/>
        <v>0.65847347994825356</v>
      </c>
      <c r="CZ117" s="508">
        <v>0.89133247089262613</v>
      </c>
      <c r="DA117" s="509">
        <v>0.89133247089262613</v>
      </c>
      <c r="DB117" s="506">
        <v>1061</v>
      </c>
      <c r="DC117" s="507">
        <v>787</v>
      </c>
      <c r="DD117" s="507">
        <v>787</v>
      </c>
      <c r="DE117" s="507">
        <v>560</v>
      </c>
      <c r="DF117" s="507">
        <v>416</v>
      </c>
      <c r="DG117" s="508">
        <f t="shared" si="192"/>
        <v>0.71156289707750953</v>
      </c>
      <c r="DH117" s="508">
        <f t="shared" si="193"/>
        <v>0.71156289707750953</v>
      </c>
      <c r="DI117" s="508">
        <v>0.91994917407878019</v>
      </c>
      <c r="DJ117" s="509">
        <v>0.91994917407878019</v>
      </c>
      <c r="DK117" s="506">
        <v>1454</v>
      </c>
      <c r="DL117" s="507">
        <v>1049</v>
      </c>
      <c r="DM117" s="507">
        <v>1049</v>
      </c>
      <c r="DN117" s="507">
        <v>592</v>
      </c>
      <c r="DO117" s="507">
        <v>449</v>
      </c>
      <c r="DP117" s="508">
        <f t="shared" si="194"/>
        <v>0.56434699714013348</v>
      </c>
      <c r="DQ117" s="508">
        <f t="shared" si="195"/>
        <v>0.56434699714013348</v>
      </c>
      <c r="DR117" s="508">
        <v>0.7912297426120114</v>
      </c>
      <c r="DS117" s="509">
        <v>0.7912297426120114</v>
      </c>
      <c r="DT117" s="506">
        <v>1111</v>
      </c>
      <c r="DU117" s="507">
        <v>811</v>
      </c>
      <c r="DV117" s="507">
        <v>666</v>
      </c>
      <c r="DW117" s="507">
        <v>563</v>
      </c>
      <c r="DX117" s="507">
        <v>419</v>
      </c>
      <c r="DY117" s="508">
        <f t="shared" si="196"/>
        <v>0.69420468557336623</v>
      </c>
      <c r="DZ117" s="508">
        <f t="shared" si="197"/>
        <v>0.84534534534534533</v>
      </c>
      <c r="EA117" s="508">
        <v>0.80271270036991371</v>
      </c>
      <c r="EB117" s="509">
        <v>0.97747747747747749</v>
      </c>
    </row>
    <row r="118" spans="1:132" s="2" customFormat="1" x14ac:dyDescent="0.25">
      <c r="A118" s="503" t="s">
        <v>329</v>
      </c>
      <c r="B118" s="504" t="s">
        <v>335</v>
      </c>
      <c r="C118" s="505" t="s">
        <v>336</v>
      </c>
      <c r="D118" s="506">
        <v>597</v>
      </c>
      <c r="E118" s="507">
        <v>528</v>
      </c>
      <c r="F118" s="507">
        <v>513</v>
      </c>
      <c r="G118" s="507">
        <v>455</v>
      </c>
      <c r="H118" s="507">
        <v>349</v>
      </c>
      <c r="I118" s="508">
        <f t="shared" si="108"/>
        <v>0.8617424242424242</v>
      </c>
      <c r="J118" s="509">
        <f t="shared" si="109"/>
        <v>0.88693957115009747</v>
      </c>
      <c r="K118" s="506">
        <v>417</v>
      </c>
      <c r="L118" s="507">
        <v>374</v>
      </c>
      <c r="M118" s="507">
        <v>358</v>
      </c>
      <c r="N118" s="507">
        <v>348</v>
      </c>
      <c r="O118" s="507">
        <v>269</v>
      </c>
      <c r="P118" s="508">
        <f t="shared" si="110"/>
        <v>0.93048128342245995</v>
      </c>
      <c r="Q118" s="509">
        <f t="shared" si="111"/>
        <v>0.97206703910614523</v>
      </c>
      <c r="R118" s="506">
        <v>664</v>
      </c>
      <c r="S118" s="507">
        <v>558</v>
      </c>
      <c r="T118" s="507">
        <v>553</v>
      </c>
      <c r="U118" s="507">
        <v>463</v>
      </c>
      <c r="V118" s="507">
        <v>352</v>
      </c>
      <c r="W118" s="508">
        <f t="shared" si="106"/>
        <v>0.82974910394265233</v>
      </c>
      <c r="X118" s="509">
        <f t="shared" si="107"/>
        <v>0.83725135623869806</v>
      </c>
      <c r="Y118" s="506">
        <v>537</v>
      </c>
      <c r="Z118" s="507">
        <v>481</v>
      </c>
      <c r="AA118" s="507">
        <v>475</v>
      </c>
      <c r="AB118" s="507">
        <v>468</v>
      </c>
      <c r="AC118" s="507">
        <v>333</v>
      </c>
      <c r="AD118" s="508">
        <f t="shared" si="112"/>
        <v>0.97297297297297303</v>
      </c>
      <c r="AE118" s="509">
        <f t="shared" si="113"/>
        <v>0.98526315789473684</v>
      </c>
      <c r="AF118" s="506">
        <v>569</v>
      </c>
      <c r="AG118" s="507">
        <v>501</v>
      </c>
      <c r="AH118" s="507">
        <v>501</v>
      </c>
      <c r="AI118" s="507">
        <v>458</v>
      </c>
      <c r="AJ118" s="507">
        <v>310</v>
      </c>
      <c r="AK118" s="508">
        <f t="shared" si="172"/>
        <v>0.9141716566866267</v>
      </c>
      <c r="AL118" s="509">
        <f t="shared" si="173"/>
        <v>0.9141716566866267</v>
      </c>
      <c r="AM118" s="506">
        <v>506</v>
      </c>
      <c r="AN118" s="507">
        <v>447</v>
      </c>
      <c r="AO118" s="507">
        <v>442</v>
      </c>
      <c r="AP118" s="507">
        <v>435</v>
      </c>
      <c r="AQ118" s="507">
        <v>324</v>
      </c>
      <c r="AR118" s="508">
        <f t="shared" si="174"/>
        <v>0.97315436241610742</v>
      </c>
      <c r="AS118" s="509">
        <f t="shared" si="175"/>
        <v>0.98416289592760176</v>
      </c>
      <c r="AT118" s="506">
        <v>433</v>
      </c>
      <c r="AU118" s="507">
        <v>398</v>
      </c>
      <c r="AV118" s="507">
        <v>385</v>
      </c>
      <c r="AW118" s="507">
        <v>385</v>
      </c>
      <c r="AX118" s="507">
        <v>274</v>
      </c>
      <c r="AY118" s="508">
        <f t="shared" si="176"/>
        <v>0.96733668341708545</v>
      </c>
      <c r="AZ118" s="509">
        <f t="shared" si="177"/>
        <v>1</v>
      </c>
      <c r="BA118" s="506">
        <v>444</v>
      </c>
      <c r="BB118" s="507">
        <v>390</v>
      </c>
      <c r="BC118" s="507">
        <v>382</v>
      </c>
      <c r="BD118" s="507">
        <v>382</v>
      </c>
      <c r="BE118" s="507">
        <v>294</v>
      </c>
      <c r="BF118" s="508">
        <f t="shared" si="178"/>
        <v>0.97948717948717945</v>
      </c>
      <c r="BG118" s="509">
        <f t="shared" si="179"/>
        <v>1</v>
      </c>
      <c r="BH118" s="506">
        <v>311</v>
      </c>
      <c r="BI118" s="507">
        <v>273</v>
      </c>
      <c r="BJ118" s="507">
        <v>265</v>
      </c>
      <c r="BK118" s="507">
        <v>265</v>
      </c>
      <c r="BL118" s="507">
        <v>191</v>
      </c>
      <c r="BM118" s="508">
        <f t="shared" si="180"/>
        <v>0.97069597069597069</v>
      </c>
      <c r="BN118" s="509">
        <f t="shared" si="181"/>
        <v>1</v>
      </c>
      <c r="BO118" s="506">
        <v>273</v>
      </c>
      <c r="BP118" s="507">
        <v>246</v>
      </c>
      <c r="BQ118" s="507">
        <v>245</v>
      </c>
      <c r="BR118" s="507">
        <v>242</v>
      </c>
      <c r="BS118" s="507">
        <v>181</v>
      </c>
      <c r="BT118" s="508">
        <f t="shared" si="182"/>
        <v>0.98373983739837401</v>
      </c>
      <c r="BU118" s="509">
        <f t="shared" si="183"/>
        <v>0.98775510204081629</v>
      </c>
      <c r="BV118" s="506">
        <v>463</v>
      </c>
      <c r="BW118" s="507">
        <v>261</v>
      </c>
      <c r="BX118" s="507">
        <v>260</v>
      </c>
      <c r="BY118" s="507">
        <v>245</v>
      </c>
      <c r="BZ118" s="507">
        <v>179</v>
      </c>
      <c r="CA118" s="508">
        <f t="shared" si="184"/>
        <v>0.93869731800766287</v>
      </c>
      <c r="CB118" s="509">
        <f t="shared" si="185"/>
        <v>0.94230769230769229</v>
      </c>
      <c r="CC118" s="506">
        <v>279</v>
      </c>
      <c r="CD118" s="507">
        <v>251</v>
      </c>
      <c r="CE118" s="507">
        <v>243</v>
      </c>
      <c r="CF118" s="507">
        <v>241</v>
      </c>
      <c r="CG118" s="507">
        <v>169</v>
      </c>
      <c r="CH118" s="508">
        <f t="shared" si="186"/>
        <v>0.96015936254980083</v>
      </c>
      <c r="CI118" s="509">
        <f t="shared" si="187"/>
        <v>0.99176954732510292</v>
      </c>
      <c r="CJ118" s="506">
        <v>318</v>
      </c>
      <c r="CK118" s="507">
        <v>270</v>
      </c>
      <c r="CL118" s="507">
        <v>263</v>
      </c>
      <c r="CM118" s="507">
        <v>255</v>
      </c>
      <c r="CN118" s="507">
        <v>191</v>
      </c>
      <c r="CO118" s="508">
        <f t="shared" si="188"/>
        <v>0.94444444444444442</v>
      </c>
      <c r="CP118" s="508">
        <f t="shared" si="189"/>
        <v>0.96958174904942962</v>
      </c>
      <c r="CQ118" s="508">
        <v>0.94444444444444442</v>
      </c>
      <c r="CR118" s="509">
        <v>0.96958174904942962</v>
      </c>
      <c r="CS118" s="506">
        <v>320</v>
      </c>
      <c r="CT118" s="507">
        <v>270</v>
      </c>
      <c r="CU118" s="507">
        <v>253</v>
      </c>
      <c r="CV118" s="507">
        <v>244</v>
      </c>
      <c r="CW118" s="507">
        <v>169</v>
      </c>
      <c r="CX118" s="508">
        <f t="shared" si="190"/>
        <v>0.90370370370370368</v>
      </c>
      <c r="CY118" s="508">
        <f t="shared" si="191"/>
        <v>0.96442687747035571</v>
      </c>
      <c r="CZ118" s="508">
        <v>0.90370370370370368</v>
      </c>
      <c r="DA118" s="509">
        <v>0.96442687747035571</v>
      </c>
      <c r="DB118" s="506">
        <v>308</v>
      </c>
      <c r="DC118" s="507">
        <v>262</v>
      </c>
      <c r="DD118" s="507">
        <v>249</v>
      </c>
      <c r="DE118" s="507">
        <v>245</v>
      </c>
      <c r="DF118" s="507">
        <v>159</v>
      </c>
      <c r="DG118" s="508">
        <f t="shared" si="192"/>
        <v>0.93511450381679384</v>
      </c>
      <c r="DH118" s="508">
        <f t="shared" si="193"/>
        <v>0.98393574297188757</v>
      </c>
      <c r="DI118" s="508">
        <v>0.93511450381679384</v>
      </c>
      <c r="DJ118" s="509">
        <v>0.98393574297188757</v>
      </c>
      <c r="DK118" s="506">
        <v>357</v>
      </c>
      <c r="DL118" s="507">
        <v>311</v>
      </c>
      <c r="DM118" s="507">
        <v>290</v>
      </c>
      <c r="DN118" s="507">
        <v>271</v>
      </c>
      <c r="DO118" s="507">
        <v>176</v>
      </c>
      <c r="DP118" s="508">
        <f t="shared" si="194"/>
        <v>0.87138263665594851</v>
      </c>
      <c r="DQ118" s="508">
        <f t="shared" si="195"/>
        <v>0.93448275862068964</v>
      </c>
      <c r="DR118" s="508">
        <v>0.87138263665594851</v>
      </c>
      <c r="DS118" s="509">
        <v>0.93448275862068964</v>
      </c>
      <c r="DT118" s="506">
        <v>411</v>
      </c>
      <c r="DU118" s="507">
        <v>352</v>
      </c>
      <c r="DV118" s="507">
        <v>340</v>
      </c>
      <c r="DW118" s="507">
        <v>315</v>
      </c>
      <c r="DX118" s="507">
        <v>187</v>
      </c>
      <c r="DY118" s="508">
        <f t="shared" si="196"/>
        <v>0.89488636363636365</v>
      </c>
      <c r="DZ118" s="508">
        <f t="shared" si="197"/>
        <v>0.92647058823529416</v>
      </c>
      <c r="EA118" s="508">
        <v>0.89488636363636365</v>
      </c>
      <c r="EB118" s="509">
        <v>0.92647058823529416</v>
      </c>
    </row>
    <row r="119" spans="1:132" s="2" customFormat="1" x14ac:dyDescent="0.25">
      <c r="A119" s="503" t="s">
        <v>329</v>
      </c>
      <c r="B119" s="504" t="s">
        <v>337</v>
      </c>
      <c r="C119" s="505" t="s">
        <v>338</v>
      </c>
      <c r="D119" s="506">
        <v>2440</v>
      </c>
      <c r="E119" s="507">
        <v>2093</v>
      </c>
      <c r="F119" s="507">
        <v>1758</v>
      </c>
      <c r="G119" s="507">
        <v>1422</v>
      </c>
      <c r="H119" s="507">
        <v>974</v>
      </c>
      <c r="I119" s="508">
        <f t="shared" si="108"/>
        <v>0.67940754897276634</v>
      </c>
      <c r="J119" s="509">
        <f t="shared" si="109"/>
        <v>0.80887372013651881</v>
      </c>
      <c r="K119" s="506">
        <v>2417</v>
      </c>
      <c r="L119" s="507">
        <v>2079</v>
      </c>
      <c r="M119" s="507">
        <v>1809</v>
      </c>
      <c r="N119" s="507">
        <v>1412</v>
      </c>
      <c r="O119" s="507">
        <v>968</v>
      </c>
      <c r="P119" s="508">
        <f t="shared" si="110"/>
        <v>0.67917267917267921</v>
      </c>
      <c r="Q119" s="509">
        <f t="shared" si="111"/>
        <v>0.78054173576561636</v>
      </c>
      <c r="R119" s="506">
        <v>2852</v>
      </c>
      <c r="S119" s="507">
        <v>2335</v>
      </c>
      <c r="T119" s="507">
        <v>2111</v>
      </c>
      <c r="U119" s="507">
        <v>1305</v>
      </c>
      <c r="V119" s="507">
        <v>862</v>
      </c>
      <c r="W119" s="508">
        <f t="shared" si="106"/>
        <v>0.5588865096359743</v>
      </c>
      <c r="X119" s="509">
        <f t="shared" si="107"/>
        <v>0.61819043107531979</v>
      </c>
      <c r="Y119" s="506">
        <v>2638</v>
      </c>
      <c r="Z119" s="507">
        <v>2123</v>
      </c>
      <c r="AA119" s="507">
        <v>1940</v>
      </c>
      <c r="AB119" s="507">
        <v>1225</v>
      </c>
      <c r="AC119" s="507">
        <v>827</v>
      </c>
      <c r="AD119" s="508">
        <f t="shared" si="112"/>
        <v>0.57701365991521436</v>
      </c>
      <c r="AE119" s="509">
        <f t="shared" si="113"/>
        <v>0.63144329896907214</v>
      </c>
      <c r="AF119" s="506">
        <v>2414</v>
      </c>
      <c r="AG119" s="507">
        <v>1949</v>
      </c>
      <c r="AH119" s="507">
        <v>1797</v>
      </c>
      <c r="AI119" s="507">
        <v>1148</v>
      </c>
      <c r="AJ119" s="507">
        <v>781</v>
      </c>
      <c r="AK119" s="508">
        <f t="shared" si="172"/>
        <v>0.58902001026167261</v>
      </c>
      <c r="AL119" s="509">
        <f t="shared" si="173"/>
        <v>0.63884251530328329</v>
      </c>
      <c r="AM119" s="506">
        <v>2015</v>
      </c>
      <c r="AN119" s="507">
        <v>1632</v>
      </c>
      <c r="AO119" s="507">
        <v>1464</v>
      </c>
      <c r="AP119" s="507">
        <v>937</v>
      </c>
      <c r="AQ119" s="507">
        <v>748</v>
      </c>
      <c r="AR119" s="508">
        <f t="shared" si="174"/>
        <v>0.57414215686274506</v>
      </c>
      <c r="AS119" s="509">
        <f t="shared" si="175"/>
        <v>0.64002732240437155</v>
      </c>
      <c r="AT119" s="506">
        <v>1799</v>
      </c>
      <c r="AU119" s="507">
        <v>1454</v>
      </c>
      <c r="AV119" s="507">
        <v>1335</v>
      </c>
      <c r="AW119" s="507">
        <v>831</v>
      </c>
      <c r="AX119" s="507">
        <v>630</v>
      </c>
      <c r="AY119" s="508">
        <f t="shared" si="176"/>
        <v>0.57152682255845944</v>
      </c>
      <c r="AZ119" s="509">
        <f t="shared" si="177"/>
        <v>0.62247191011235958</v>
      </c>
      <c r="BA119" s="506">
        <v>1559</v>
      </c>
      <c r="BB119" s="507">
        <v>1266</v>
      </c>
      <c r="BC119" s="507">
        <v>1178</v>
      </c>
      <c r="BD119" s="507">
        <v>832</v>
      </c>
      <c r="BE119" s="507">
        <v>625</v>
      </c>
      <c r="BF119" s="508">
        <f t="shared" si="178"/>
        <v>0.65718799368088465</v>
      </c>
      <c r="BG119" s="509">
        <f t="shared" si="179"/>
        <v>0.70628183361629882</v>
      </c>
      <c r="BH119" s="506">
        <v>1550</v>
      </c>
      <c r="BI119" s="507">
        <v>1229</v>
      </c>
      <c r="BJ119" s="507">
        <v>1121</v>
      </c>
      <c r="BK119" s="507">
        <v>872</v>
      </c>
      <c r="BL119" s="507">
        <v>681</v>
      </c>
      <c r="BM119" s="508">
        <f t="shared" si="180"/>
        <v>0.70951993490642795</v>
      </c>
      <c r="BN119" s="509">
        <f t="shared" si="181"/>
        <v>0.77787689562890272</v>
      </c>
      <c r="BO119" s="506">
        <v>1613</v>
      </c>
      <c r="BP119" s="507">
        <v>1337</v>
      </c>
      <c r="BQ119" s="507">
        <v>1259</v>
      </c>
      <c r="BR119" s="507">
        <v>929</v>
      </c>
      <c r="BS119" s="507">
        <v>725</v>
      </c>
      <c r="BT119" s="508">
        <f t="shared" si="182"/>
        <v>0.69483919222139112</v>
      </c>
      <c r="BU119" s="509">
        <f t="shared" si="183"/>
        <v>0.73788721207307384</v>
      </c>
      <c r="BV119" s="506">
        <v>2273</v>
      </c>
      <c r="BW119" s="507">
        <v>1507</v>
      </c>
      <c r="BX119" s="507">
        <v>1460</v>
      </c>
      <c r="BY119" s="507">
        <v>1108</v>
      </c>
      <c r="BZ119" s="507">
        <v>908</v>
      </c>
      <c r="CA119" s="508">
        <f t="shared" si="184"/>
        <v>0.73523556735235562</v>
      </c>
      <c r="CB119" s="509">
        <f t="shared" si="185"/>
        <v>0.75890410958904109</v>
      </c>
      <c r="CC119" s="506">
        <v>2089</v>
      </c>
      <c r="CD119" s="507">
        <v>1757</v>
      </c>
      <c r="CE119" s="507">
        <v>1756</v>
      </c>
      <c r="CF119" s="507">
        <v>1002</v>
      </c>
      <c r="CG119" s="507">
        <v>747</v>
      </c>
      <c r="CH119" s="508">
        <f t="shared" si="186"/>
        <v>0.57029026750142287</v>
      </c>
      <c r="CI119" s="509">
        <f t="shared" si="187"/>
        <v>0.57061503416856496</v>
      </c>
      <c r="CJ119" s="506">
        <v>2685</v>
      </c>
      <c r="CK119" s="507">
        <v>2194</v>
      </c>
      <c r="CL119" s="507">
        <v>2194</v>
      </c>
      <c r="CM119" s="507">
        <v>987</v>
      </c>
      <c r="CN119" s="507">
        <v>752</v>
      </c>
      <c r="CO119" s="508">
        <f t="shared" si="188"/>
        <v>0.44986326344576116</v>
      </c>
      <c r="CP119" s="508">
        <f t="shared" si="189"/>
        <v>0.44986326344576116</v>
      </c>
      <c r="CQ119" s="508">
        <v>0.52142206016408388</v>
      </c>
      <c r="CR119" s="509">
        <v>0.52142206016408388</v>
      </c>
      <c r="CS119" s="506">
        <v>2415</v>
      </c>
      <c r="CT119" s="507">
        <v>1873</v>
      </c>
      <c r="CU119" s="507">
        <v>1644</v>
      </c>
      <c r="CV119" s="507">
        <v>966</v>
      </c>
      <c r="CW119" s="507">
        <v>717</v>
      </c>
      <c r="CX119" s="508">
        <f t="shared" si="190"/>
        <v>0.51575013347570742</v>
      </c>
      <c r="CY119" s="508">
        <f t="shared" si="191"/>
        <v>0.58759124087591241</v>
      </c>
      <c r="CZ119" s="508">
        <v>0.55792845702082217</v>
      </c>
      <c r="DA119" s="509">
        <v>0.63564476885644772</v>
      </c>
      <c r="DB119" s="506">
        <v>2363</v>
      </c>
      <c r="DC119" s="507">
        <v>1867</v>
      </c>
      <c r="DD119" s="507">
        <v>1867</v>
      </c>
      <c r="DE119" s="507">
        <v>1007</v>
      </c>
      <c r="DF119" s="507">
        <v>798</v>
      </c>
      <c r="DG119" s="508">
        <f t="shared" si="192"/>
        <v>0.53936797000535619</v>
      </c>
      <c r="DH119" s="508">
        <f t="shared" si="193"/>
        <v>0.53936797000535619</v>
      </c>
      <c r="DI119" s="508">
        <v>0.56722013926084625</v>
      </c>
      <c r="DJ119" s="509">
        <v>0.56722013926084625</v>
      </c>
      <c r="DK119" s="506">
        <v>2595</v>
      </c>
      <c r="DL119" s="507">
        <v>1934</v>
      </c>
      <c r="DM119" s="507">
        <v>1934</v>
      </c>
      <c r="DN119" s="507">
        <v>933</v>
      </c>
      <c r="DO119" s="507">
        <v>725</v>
      </c>
      <c r="DP119" s="508">
        <f t="shared" si="194"/>
        <v>0.4824198552223371</v>
      </c>
      <c r="DQ119" s="508">
        <f t="shared" si="195"/>
        <v>0.4824198552223371</v>
      </c>
      <c r="DR119" s="508">
        <v>0.48293691830403307</v>
      </c>
      <c r="DS119" s="509">
        <v>0.48293691830403307</v>
      </c>
      <c r="DT119" s="506">
        <v>2304</v>
      </c>
      <c r="DU119" s="507">
        <v>1703</v>
      </c>
      <c r="DV119" s="507">
        <v>1703</v>
      </c>
      <c r="DW119" s="507">
        <v>983</v>
      </c>
      <c r="DX119" s="507">
        <v>750</v>
      </c>
      <c r="DY119" s="508">
        <f t="shared" si="196"/>
        <v>0.57721667645331765</v>
      </c>
      <c r="DZ119" s="508">
        <f t="shared" si="197"/>
        <v>0.57721667645331765</v>
      </c>
      <c r="EA119" s="508">
        <v>0.57721667645331765</v>
      </c>
      <c r="EB119" s="509">
        <v>0.57721667645331765</v>
      </c>
    </row>
    <row r="120" spans="1:132" s="2" customFormat="1" x14ac:dyDescent="0.25">
      <c r="A120" s="503" t="s">
        <v>329</v>
      </c>
      <c r="B120" s="504" t="s">
        <v>339</v>
      </c>
      <c r="C120" s="505" t="s">
        <v>340</v>
      </c>
      <c r="D120" s="506">
        <v>288</v>
      </c>
      <c r="E120" s="507">
        <v>276</v>
      </c>
      <c r="F120" s="507">
        <v>246</v>
      </c>
      <c r="G120" s="507">
        <v>62</v>
      </c>
      <c r="H120" s="507">
        <v>50</v>
      </c>
      <c r="I120" s="508">
        <f t="shared" si="108"/>
        <v>0.22463768115942029</v>
      </c>
      <c r="J120" s="509">
        <f t="shared" si="109"/>
        <v>0.25203252032520324</v>
      </c>
      <c r="K120" s="506">
        <v>278</v>
      </c>
      <c r="L120" s="507">
        <v>256</v>
      </c>
      <c r="M120" s="507">
        <v>217</v>
      </c>
      <c r="N120" s="507">
        <v>82</v>
      </c>
      <c r="O120" s="507">
        <v>74</v>
      </c>
      <c r="P120" s="508">
        <f t="shared" si="110"/>
        <v>0.3203125</v>
      </c>
      <c r="Q120" s="509">
        <f t="shared" si="111"/>
        <v>0.37788018433179721</v>
      </c>
      <c r="R120" s="506">
        <v>232</v>
      </c>
      <c r="S120" s="507">
        <v>208</v>
      </c>
      <c r="T120" s="507">
        <v>189</v>
      </c>
      <c r="U120" s="507">
        <v>65</v>
      </c>
      <c r="V120" s="507">
        <v>54</v>
      </c>
      <c r="W120" s="508">
        <f t="shared" si="106"/>
        <v>0.3125</v>
      </c>
      <c r="X120" s="509">
        <f t="shared" si="107"/>
        <v>0.3439153439153439</v>
      </c>
      <c r="Y120" s="506">
        <v>249</v>
      </c>
      <c r="Z120" s="507">
        <v>232</v>
      </c>
      <c r="AA120" s="507">
        <v>200</v>
      </c>
      <c r="AB120" s="507">
        <v>69</v>
      </c>
      <c r="AC120" s="507">
        <v>56</v>
      </c>
      <c r="AD120" s="508">
        <f t="shared" si="112"/>
        <v>0.29741379310344829</v>
      </c>
      <c r="AE120" s="509">
        <f t="shared" si="113"/>
        <v>0.34499999999999997</v>
      </c>
      <c r="AF120" s="506">
        <v>216</v>
      </c>
      <c r="AG120" s="507">
        <v>202</v>
      </c>
      <c r="AH120" s="507">
        <v>178</v>
      </c>
      <c r="AI120" s="507">
        <v>53</v>
      </c>
      <c r="AJ120" s="507">
        <v>45</v>
      </c>
      <c r="AK120" s="508">
        <f t="shared" si="172"/>
        <v>0.26237623762376239</v>
      </c>
      <c r="AL120" s="509">
        <f t="shared" si="173"/>
        <v>0.29775280898876405</v>
      </c>
      <c r="AM120" s="506">
        <v>156</v>
      </c>
      <c r="AN120" s="507">
        <v>150</v>
      </c>
      <c r="AO120" s="507">
        <v>130</v>
      </c>
      <c r="AP120" s="507">
        <v>51</v>
      </c>
      <c r="AQ120" s="507">
        <v>44</v>
      </c>
      <c r="AR120" s="508">
        <f t="shared" si="174"/>
        <v>0.34</v>
      </c>
      <c r="AS120" s="509">
        <f t="shared" si="175"/>
        <v>0.3923076923076923</v>
      </c>
      <c r="AT120" s="506">
        <v>128</v>
      </c>
      <c r="AU120" s="507">
        <v>116</v>
      </c>
      <c r="AV120" s="507">
        <v>92</v>
      </c>
      <c r="AW120" s="507">
        <v>46</v>
      </c>
      <c r="AX120" s="507">
        <v>41</v>
      </c>
      <c r="AY120" s="508">
        <f t="shared" si="176"/>
        <v>0.39655172413793105</v>
      </c>
      <c r="AZ120" s="509">
        <f t="shared" si="177"/>
        <v>0.5</v>
      </c>
      <c r="BA120" s="506">
        <v>151</v>
      </c>
      <c r="BB120" s="507">
        <v>138</v>
      </c>
      <c r="BC120" s="507">
        <v>123</v>
      </c>
      <c r="BD120" s="507">
        <v>49</v>
      </c>
      <c r="BE120" s="507">
        <v>44</v>
      </c>
      <c r="BF120" s="508">
        <f t="shared" si="178"/>
        <v>0.35507246376811596</v>
      </c>
      <c r="BG120" s="509">
        <f t="shared" si="179"/>
        <v>0.3983739837398374</v>
      </c>
      <c r="BH120" s="506">
        <v>147</v>
      </c>
      <c r="BI120" s="507">
        <v>134</v>
      </c>
      <c r="BJ120" s="507">
        <v>114</v>
      </c>
      <c r="BK120" s="507">
        <v>49</v>
      </c>
      <c r="BL120" s="507">
        <v>39</v>
      </c>
      <c r="BM120" s="508">
        <f t="shared" si="180"/>
        <v>0.36567164179104478</v>
      </c>
      <c r="BN120" s="509">
        <f t="shared" si="181"/>
        <v>0.42982456140350878</v>
      </c>
      <c r="BO120" s="506">
        <v>133</v>
      </c>
      <c r="BP120" s="507">
        <v>116</v>
      </c>
      <c r="BQ120" s="507">
        <v>92</v>
      </c>
      <c r="BR120" s="507">
        <v>46</v>
      </c>
      <c r="BS120" s="507">
        <v>43</v>
      </c>
      <c r="BT120" s="508">
        <f t="shared" si="182"/>
        <v>0.39655172413793105</v>
      </c>
      <c r="BU120" s="509">
        <f t="shared" si="183"/>
        <v>0.5</v>
      </c>
      <c r="BV120" s="506">
        <v>115</v>
      </c>
      <c r="BW120" s="507">
        <v>105</v>
      </c>
      <c r="BX120" s="507">
        <v>87</v>
      </c>
      <c r="BY120" s="507">
        <v>37</v>
      </c>
      <c r="BZ120" s="507">
        <v>29</v>
      </c>
      <c r="CA120" s="508">
        <f t="shared" si="184"/>
        <v>0.35238095238095241</v>
      </c>
      <c r="CB120" s="509">
        <f t="shared" si="185"/>
        <v>0.42528735632183906</v>
      </c>
      <c r="CC120" s="506">
        <v>139</v>
      </c>
      <c r="CD120" s="507">
        <v>130</v>
      </c>
      <c r="CE120" s="507">
        <v>111</v>
      </c>
      <c r="CF120" s="507">
        <v>33</v>
      </c>
      <c r="CG120" s="507">
        <v>27</v>
      </c>
      <c r="CH120" s="508">
        <f t="shared" si="186"/>
        <v>0.25384615384615383</v>
      </c>
      <c r="CI120" s="509">
        <f t="shared" si="187"/>
        <v>0.29729729729729731</v>
      </c>
      <c r="CJ120" s="506">
        <v>115</v>
      </c>
      <c r="CK120" s="507">
        <v>98</v>
      </c>
      <c r="CL120" s="507">
        <v>61</v>
      </c>
      <c r="CM120" s="507">
        <v>36</v>
      </c>
      <c r="CN120" s="507">
        <v>31</v>
      </c>
      <c r="CO120" s="508">
        <f t="shared" si="188"/>
        <v>0.36734693877551022</v>
      </c>
      <c r="CP120" s="508">
        <f t="shared" si="189"/>
        <v>0.5901639344262295</v>
      </c>
      <c r="CQ120" s="508">
        <v>0.36734693877551022</v>
      </c>
      <c r="CR120" s="509">
        <v>0.5901639344262295</v>
      </c>
      <c r="CS120" s="506">
        <v>137</v>
      </c>
      <c r="CT120" s="507">
        <v>129</v>
      </c>
      <c r="CU120" s="507">
        <v>75</v>
      </c>
      <c r="CV120" s="507">
        <v>35</v>
      </c>
      <c r="CW120" s="507">
        <v>31</v>
      </c>
      <c r="CX120" s="508">
        <f t="shared" si="190"/>
        <v>0.27131782945736432</v>
      </c>
      <c r="CY120" s="508">
        <f t="shared" si="191"/>
        <v>0.46666666666666667</v>
      </c>
      <c r="CZ120" s="508">
        <v>0.27131782945736432</v>
      </c>
      <c r="DA120" s="509">
        <v>0.46666666666666667</v>
      </c>
      <c r="DB120" s="506">
        <v>135</v>
      </c>
      <c r="DC120" s="507">
        <v>130</v>
      </c>
      <c r="DD120" s="507">
        <v>105</v>
      </c>
      <c r="DE120" s="507">
        <v>57</v>
      </c>
      <c r="DF120" s="507">
        <v>48</v>
      </c>
      <c r="DG120" s="508">
        <f t="shared" si="192"/>
        <v>0.43846153846153846</v>
      </c>
      <c r="DH120" s="508">
        <f t="shared" si="193"/>
        <v>0.54285714285714282</v>
      </c>
      <c r="DI120" s="508">
        <v>0.43846153846153846</v>
      </c>
      <c r="DJ120" s="509">
        <v>0.54285714285714282</v>
      </c>
      <c r="DK120" s="506">
        <v>198</v>
      </c>
      <c r="DL120" s="507">
        <v>190</v>
      </c>
      <c r="DM120" s="507">
        <v>165</v>
      </c>
      <c r="DN120" s="507">
        <v>78</v>
      </c>
      <c r="DO120" s="507">
        <v>61</v>
      </c>
      <c r="DP120" s="508">
        <f t="shared" si="194"/>
        <v>0.41052631578947368</v>
      </c>
      <c r="DQ120" s="508">
        <f t="shared" si="195"/>
        <v>0.47272727272727272</v>
      </c>
      <c r="DR120" s="508">
        <v>0.41052631578947368</v>
      </c>
      <c r="DS120" s="509">
        <v>0.47272727272727272</v>
      </c>
      <c r="DT120" s="506">
        <v>212</v>
      </c>
      <c r="DU120" s="507">
        <v>197</v>
      </c>
      <c r="DV120" s="507">
        <v>177</v>
      </c>
      <c r="DW120" s="507">
        <v>67</v>
      </c>
      <c r="DX120" s="507">
        <v>58</v>
      </c>
      <c r="DY120" s="508">
        <f t="shared" si="196"/>
        <v>0.34010152284263961</v>
      </c>
      <c r="DZ120" s="508">
        <f t="shared" si="197"/>
        <v>0.37853107344632769</v>
      </c>
      <c r="EA120" s="508">
        <v>0.34010152284263961</v>
      </c>
      <c r="EB120" s="509">
        <v>0.37853107344632769</v>
      </c>
    </row>
    <row r="121" spans="1:132" s="2" customFormat="1" x14ac:dyDescent="0.25">
      <c r="A121" s="503" t="s">
        <v>329</v>
      </c>
      <c r="B121" s="526">
        <v>24530</v>
      </c>
      <c r="C121" s="527" t="s">
        <v>554</v>
      </c>
      <c r="D121" s="528"/>
      <c r="E121" s="529"/>
      <c r="F121" s="529"/>
      <c r="G121" s="529"/>
      <c r="H121" s="529"/>
      <c r="I121" s="530"/>
      <c r="J121" s="531"/>
      <c r="K121" s="528"/>
      <c r="L121" s="529"/>
      <c r="M121" s="529"/>
      <c r="N121" s="529"/>
      <c r="O121" s="529"/>
      <c r="P121" s="530"/>
      <c r="Q121" s="531"/>
      <c r="R121" s="528"/>
      <c r="S121" s="529"/>
      <c r="T121" s="529"/>
      <c r="U121" s="529"/>
      <c r="V121" s="529"/>
      <c r="W121" s="530"/>
      <c r="X121" s="531"/>
      <c r="Y121" s="528"/>
      <c r="Z121" s="529"/>
      <c r="AA121" s="529"/>
      <c r="AB121" s="529"/>
      <c r="AC121" s="529"/>
      <c r="AD121" s="530"/>
      <c r="AE121" s="531"/>
      <c r="AF121" s="528"/>
      <c r="AG121" s="529"/>
      <c r="AH121" s="529"/>
      <c r="AI121" s="529"/>
      <c r="AJ121" s="529"/>
      <c r="AK121" s="530"/>
      <c r="AL121" s="531"/>
      <c r="AM121" s="528"/>
      <c r="AN121" s="529"/>
      <c r="AO121" s="529"/>
      <c r="AP121" s="529"/>
      <c r="AQ121" s="529"/>
      <c r="AR121" s="530"/>
      <c r="AS121" s="531"/>
      <c r="AT121" s="528"/>
      <c r="AU121" s="529"/>
      <c r="AV121" s="529"/>
      <c r="AW121" s="529"/>
      <c r="AX121" s="529"/>
      <c r="AY121" s="530"/>
      <c r="AZ121" s="531"/>
      <c r="BA121" s="528">
        <v>192</v>
      </c>
      <c r="BB121" s="529">
        <v>185</v>
      </c>
      <c r="BC121" s="529">
        <v>167</v>
      </c>
      <c r="BD121" s="529">
        <v>155</v>
      </c>
      <c r="BE121" s="529">
        <v>100</v>
      </c>
      <c r="BF121" s="530">
        <f t="shared" ref="BF121" si="198">BD121/BB121</f>
        <v>0.83783783783783783</v>
      </c>
      <c r="BG121" s="531">
        <f t="shared" ref="BG121" si="199">BD121/BC121</f>
        <v>0.92814371257485029</v>
      </c>
      <c r="BH121" s="528">
        <v>248</v>
      </c>
      <c r="BI121" s="529">
        <v>229</v>
      </c>
      <c r="BJ121" s="529">
        <v>229</v>
      </c>
      <c r="BK121" s="529">
        <v>204</v>
      </c>
      <c r="BL121" s="529">
        <v>148</v>
      </c>
      <c r="BM121" s="530">
        <f t="shared" si="180"/>
        <v>0.89082969432314407</v>
      </c>
      <c r="BN121" s="531">
        <f t="shared" si="181"/>
        <v>0.89082969432314407</v>
      </c>
      <c r="BO121" s="528">
        <v>266</v>
      </c>
      <c r="BP121" s="529">
        <v>245</v>
      </c>
      <c r="BQ121" s="529">
        <v>220</v>
      </c>
      <c r="BR121" s="529">
        <v>220</v>
      </c>
      <c r="BS121" s="529">
        <v>166</v>
      </c>
      <c r="BT121" s="530">
        <f t="shared" si="182"/>
        <v>0.89795918367346939</v>
      </c>
      <c r="BU121" s="531">
        <f t="shared" si="183"/>
        <v>1</v>
      </c>
      <c r="BV121" s="528">
        <v>328</v>
      </c>
      <c r="BW121" s="529">
        <v>301</v>
      </c>
      <c r="BX121" s="529">
        <v>301</v>
      </c>
      <c r="BY121" s="529">
        <v>270</v>
      </c>
      <c r="BZ121" s="529">
        <v>197</v>
      </c>
      <c r="CA121" s="530">
        <f t="shared" si="184"/>
        <v>0.89700996677740863</v>
      </c>
      <c r="CB121" s="531">
        <f t="shared" si="185"/>
        <v>0.89700996677740863</v>
      </c>
      <c r="CC121" s="528">
        <v>482</v>
      </c>
      <c r="CD121" s="529">
        <v>382</v>
      </c>
      <c r="CE121" s="529">
        <v>382</v>
      </c>
      <c r="CF121" s="529">
        <v>319</v>
      </c>
      <c r="CG121" s="529">
        <v>203</v>
      </c>
      <c r="CH121" s="530">
        <f t="shared" si="186"/>
        <v>0.83507853403141363</v>
      </c>
      <c r="CI121" s="531">
        <f t="shared" si="187"/>
        <v>0.83507853403141363</v>
      </c>
      <c r="CJ121" s="528">
        <v>479</v>
      </c>
      <c r="CK121" s="529">
        <v>397</v>
      </c>
      <c r="CL121" s="529">
        <v>397</v>
      </c>
      <c r="CM121" s="529">
        <v>261</v>
      </c>
      <c r="CN121" s="529">
        <v>140</v>
      </c>
      <c r="CO121" s="530">
        <f t="shared" si="188"/>
        <v>0.65743073047858946</v>
      </c>
      <c r="CP121" s="530">
        <f t="shared" si="189"/>
        <v>0.65743073047858946</v>
      </c>
      <c r="CQ121" s="530">
        <v>0.65743073047858946</v>
      </c>
      <c r="CR121" s="531">
        <v>0.65743073047858946</v>
      </c>
      <c r="CS121" s="528">
        <v>409</v>
      </c>
      <c r="CT121" s="529">
        <v>347</v>
      </c>
      <c r="CU121" s="529">
        <v>347</v>
      </c>
      <c r="CV121" s="529">
        <v>216</v>
      </c>
      <c r="CW121" s="529">
        <v>146</v>
      </c>
      <c r="CX121" s="530">
        <f t="shared" si="190"/>
        <v>0.62247838616714701</v>
      </c>
      <c r="CY121" s="530">
        <f t="shared" si="191"/>
        <v>0.62247838616714701</v>
      </c>
      <c r="CZ121" s="530">
        <v>0.80403458213256485</v>
      </c>
      <c r="DA121" s="531">
        <v>0.80403458213256485</v>
      </c>
      <c r="DB121" s="528">
        <v>366</v>
      </c>
      <c r="DC121" s="529">
        <v>329</v>
      </c>
      <c r="DD121" s="529">
        <v>329</v>
      </c>
      <c r="DE121" s="529">
        <v>259</v>
      </c>
      <c r="DF121" s="529">
        <v>186</v>
      </c>
      <c r="DG121" s="530">
        <f t="shared" si="192"/>
        <v>0.78723404255319152</v>
      </c>
      <c r="DH121" s="530">
        <f t="shared" si="193"/>
        <v>0.78723404255319152</v>
      </c>
      <c r="DI121" s="530">
        <v>0.92401215805471126</v>
      </c>
      <c r="DJ121" s="531">
        <v>0.92401215805471126</v>
      </c>
      <c r="DK121" s="528">
        <v>470</v>
      </c>
      <c r="DL121" s="529">
        <v>406</v>
      </c>
      <c r="DM121" s="529">
        <v>406</v>
      </c>
      <c r="DN121" s="529">
        <v>304</v>
      </c>
      <c r="DO121" s="529">
        <v>184</v>
      </c>
      <c r="DP121" s="530">
        <f t="shared" si="194"/>
        <v>0.74876847290640391</v>
      </c>
      <c r="DQ121" s="530">
        <f t="shared" si="195"/>
        <v>0.74876847290640391</v>
      </c>
      <c r="DR121" s="530">
        <v>0.8571428571428571</v>
      </c>
      <c r="DS121" s="531">
        <v>0.8571428571428571</v>
      </c>
      <c r="DT121" s="528">
        <v>574</v>
      </c>
      <c r="DU121" s="529">
        <v>503</v>
      </c>
      <c r="DV121" s="529">
        <v>503</v>
      </c>
      <c r="DW121" s="529">
        <v>347</v>
      </c>
      <c r="DX121" s="529">
        <v>215</v>
      </c>
      <c r="DY121" s="530">
        <f t="shared" si="196"/>
        <v>0.68986083499005968</v>
      </c>
      <c r="DZ121" s="530">
        <f t="shared" si="197"/>
        <v>0.68986083499005968</v>
      </c>
      <c r="EA121" s="530">
        <v>0.83697813121272369</v>
      </c>
      <c r="EB121" s="531">
        <v>0.83697813121272369</v>
      </c>
    </row>
    <row r="122" spans="1:132" s="2" customFormat="1" x14ac:dyDescent="0.25">
      <c r="A122" s="511" t="s">
        <v>329</v>
      </c>
      <c r="B122" s="512" t="s">
        <v>341</v>
      </c>
      <c r="C122" s="532" t="s">
        <v>199</v>
      </c>
      <c r="D122" s="514">
        <v>253</v>
      </c>
      <c r="E122" s="515">
        <v>251</v>
      </c>
      <c r="F122" s="515">
        <v>220</v>
      </c>
      <c r="G122" s="515">
        <v>188</v>
      </c>
      <c r="H122" s="515">
        <v>158</v>
      </c>
      <c r="I122" s="516">
        <f t="shared" si="108"/>
        <v>0.74900398406374502</v>
      </c>
      <c r="J122" s="517">
        <f t="shared" si="109"/>
        <v>0.8545454545454545</v>
      </c>
      <c r="K122" s="514">
        <v>259</v>
      </c>
      <c r="L122" s="515">
        <v>255</v>
      </c>
      <c r="M122" s="515">
        <v>223</v>
      </c>
      <c r="N122" s="515">
        <v>213</v>
      </c>
      <c r="O122" s="515">
        <v>180</v>
      </c>
      <c r="P122" s="516">
        <f t="shared" si="110"/>
        <v>0.83529411764705885</v>
      </c>
      <c r="Q122" s="517">
        <f t="shared" si="111"/>
        <v>0.95515695067264572</v>
      </c>
      <c r="R122" s="514">
        <v>222</v>
      </c>
      <c r="S122" s="515">
        <v>221</v>
      </c>
      <c r="T122" s="515">
        <v>207</v>
      </c>
      <c r="U122" s="515">
        <v>205</v>
      </c>
      <c r="V122" s="515">
        <v>149</v>
      </c>
      <c r="W122" s="516">
        <f t="shared" si="106"/>
        <v>0.92760180995475117</v>
      </c>
      <c r="X122" s="517">
        <f t="shared" si="107"/>
        <v>0.99033816425120769</v>
      </c>
      <c r="Y122" s="514">
        <v>225</v>
      </c>
      <c r="Z122" s="515">
        <v>225</v>
      </c>
      <c r="AA122" s="515">
        <v>217</v>
      </c>
      <c r="AB122" s="515">
        <v>217</v>
      </c>
      <c r="AC122" s="515">
        <v>170</v>
      </c>
      <c r="AD122" s="516">
        <f t="shared" si="112"/>
        <v>0.96444444444444444</v>
      </c>
      <c r="AE122" s="517">
        <f t="shared" si="113"/>
        <v>1</v>
      </c>
      <c r="AF122" s="514">
        <v>247</v>
      </c>
      <c r="AG122" s="515">
        <v>244</v>
      </c>
      <c r="AH122" s="515">
        <v>223</v>
      </c>
      <c r="AI122" s="515">
        <v>214</v>
      </c>
      <c r="AJ122" s="515">
        <v>169</v>
      </c>
      <c r="AK122" s="516">
        <f t="shared" si="172"/>
        <v>0.87704918032786883</v>
      </c>
      <c r="AL122" s="517">
        <f t="shared" si="173"/>
        <v>0.95964125560538116</v>
      </c>
      <c r="AM122" s="514">
        <v>155</v>
      </c>
      <c r="AN122" s="515">
        <v>152</v>
      </c>
      <c r="AO122" s="515">
        <v>134</v>
      </c>
      <c r="AP122" s="515">
        <v>129</v>
      </c>
      <c r="AQ122" s="515">
        <v>108</v>
      </c>
      <c r="AR122" s="516">
        <f t="shared" si="174"/>
        <v>0.84868421052631582</v>
      </c>
      <c r="AS122" s="517">
        <f t="shared" si="175"/>
        <v>0.96268656716417911</v>
      </c>
      <c r="AT122" s="514">
        <v>224</v>
      </c>
      <c r="AU122" s="515">
        <v>218</v>
      </c>
      <c r="AV122" s="515">
        <v>187</v>
      </c>
      <c r="AW122" s="515">
        <v>179</v>
      </c>
      <c r="AX122" s="515">
        <v>130</v>
      </c>
      <c r="AY122" s="516">
        <f t="shared" si="176"/>
        <v>0.82110091743119262</v>
      </c>
      <c r="AZ122" s="517">
        <f t="shared" si="177"/>
        <v>0.95721925133689845</v>
      </c>
      <c r="BA122" s="514" t="s">
        <v>67</v>
      </c>
      <c r="BB122" s="515" t="s">
        <v>67</v>
      </c>
      <c r="BC122" s="515" t="s">
        <v>67</v>
      </c>
      <c r="BD122" s="515" t="s">
        <v>67</v>
      </c>
      <c r="BE122" s="515" t="s">
        <v>67</v>
      </c>
      <c r="BF122" s="516" t="s">
        <v>67</v>
      </c>
      <c r="BG122" s="517" t="s">
        <v>67</v>
      </c>
      <c r="BH122" s="514" t="s">
        <v>67</v>
      </c>
      <c r="BI122" s="515" t="s">
        <v>67</v>
      </c>
      <c r="BJ122" s="515" t="s">
        <v>67</v>
      </c>
      <c r="BK122" s="515" t="s">
        <v>67</v>
      </c>
      <c r="BL122" s="515" t="s">
        <v>67</v>
      </c>
      <c r="BM122" s="516" t="s">
        <v>67</v>
      </c>
      <c r="BN122" s="517" t="s">
        <v>67</v>
      </c>
      <c r="BO122" s="514" t="s">
        <v>67</v>
      </c>
      <c r="BP122" s="515" t="s">
        <v>67</v>
      </c>
      <c r="BQ122" s="515" t="s">
        <v>67</v>
      </c>
      <c r="BR122" s="515" t="s">
        <v>67</v>
      </c>
      <c r="BS122" s="515" t="s">
        <v>67</v>
      </c>
      <c r="BT122" s="516" t="s">
        <v>67</v>
      </c>
      <c r="BU122" s="517" t="s">
        <v>67</v>
      </c>
      <c r="BV122" s="514" t="s">
        <v>67</v>
      </c>
      <c r="BW122" s="515" t="s">
        <v>67</v>
      </c>
      <c r="BX122" s="515" t="s">
        <v>67</v>
      </c>
      <c r="BY122" s="515" t="s">
        <v>67</v>
      </c>
      <c r="BZ122" s="515" t="s">
        <v>67</v>
      </c>
      <c r="CA122" s="516" t="s">
        <v>67</v>
      </c>
      <c r="CB122" s="517" t="s">
        <v>67</v>
      </c>
      <c r="CC122" s="514" t="s">
        <v>67</v>
      </c>
      <c r="CD122" s="515" t="s">
        <v>67</v>
      </c>
      <c r="CE122" s="515" t="s">
        <v>67</v>
      </c>
      <c r="CF122" s="515" t="s">
        <v>67</v>
      </c>
      <c r="CG122" s="515" t="s">
        <v>67</v>
      </c>
      <c r="CH122" s="516" t="s">
        <v>67</v>
      </c>
      <c r="CI122" s="517" t="s">
        <v>67</v>
      </c>
      <c r="CJ122" s="514" t="s">
        <v>67</v>
      </c>
      <c r="CK122" s="515" t="s">
        <v>67</v>
      </c>
      <c r="CL122" s="515" t="s">
        <v>67</v>
      </c>
      <c r="CM122" s="515" t="s">
        <v>67</v>
      </c>
      <c r="CN122" s="515" t="s">
        <v>67</v>
      </c>
      <c r="CO122" s="516" t="s">
        <v>67</v>
      </c>
      <c r="CP122" s="516" t="s">
        <v>67</v>
      </c>
      <c r="CQ122" s="516" t="s">
        <v>67</v>
      </c>
      <c r="CR122" s="517" t="s">
        <v>67</v>
      </c>
      <c r="CS122" s="514" t="s">
        <v>67</v>
      </c>
      <c r="CT122" s="515" t="s">
        <v>67</v>
      </c>
      <c r="CU122" s="515" t="s">
        <v>67</v>
      </c>
      <c r="CV122" s="515" t="s">
        <v>67</v>
      </c>
      <c r="CW122" s="515" t="s">
        <v>67</v>
      </c>
      <c r="CX122" s="516" t="s">
        <v>67</v>
      </c>
      <c r="CY122" s="516" t="s">
        <v>67</v>
      </c>
      <c r="CZ122" s="516" t="s">
        <v>67</v>
      </c>
      <c r="DA122" s="517" t="s">
        <v>67</v>
      </c>
      <c r="DB122" s="514" t="s">
        <v>67</v>
      </c>
      <c r="DC122" s="515" t="s">
        <v>67</v>
      </c>
      <c r="DD122" s="515" t="s">
        <v>67</v>
      </c>
      <c r="DE122" s="515" t="s">
        <v>67</v>
      </c>
      <c r="DF122" s="515" t="s">
        <v>67</v>
      </c>
      <c r="DG122" s="516" t="s">
        <v>67</v>
      </c>
      <c r="DH122" s="516" t="s">
        <v>67</v>
      </c>
      <c r="DI122" s="516" t="s">
        <v>67</v>
      </c>
      <c r="DJ122" s="517" t="s">
        <v>67</v>
      </c>
      <c r="DK122" s="514" t="s">
        <v>67</v>
      </c>
      <c r="DL122" s="515" t="s">
        <v>67</v>
      </c>
      <c r="DM122" s="515" t="s">
        <v>67</v>
      </c>
      <c r="DN122" s="515" t="s">
        <v>67</v>
      </c>
      <c r="DO122" s="515" t="s">
        <v>67</v>
      </c>
      <c r="DP122" s="516" t="s">
        <v>67</v>
      </c>
      <c r="DQ122" s="516" t="s">
        <v>67</v>
      </c>
      <c r="DR122" s="516" t="s">
        <v>67</v>
      </c>
      <c r="DS122" s="517" t="s">
        <v>67</v>
      </c>
      <c r="DT122" s="514" t="s">
        <v>67</v>
      </c>
      <c r="DU122" s="515" t="s">
        <v>67</v>
      </c>
      <c r="DV122" s="515" t="s">
        <v>67</v>
      </c>
      <c r="DW122" s="515" t="s">
        <v>67</v>
      </c>
      <c r="DX122" s="515" t="s">
        <v>67</v>
      </c>
      <c r="DY122" s="516" t="s">
        <v>67</v>
      </c>
      <c r="DZ122" s="516" t="s">
        <v>67</v>
      </c>
      <c r="EA122" s="516" t="s">
        <v>67</v>
      </c>
      <c r="EB122" s="517" t="s">
        <v>67</v>
      </c>
    </row>
    <row r="123" spans="1:132" s="2" customFormat="1" x14ac:dyDescent="0.25">
      <c r="A123" s="533" t="s">
        <v>342</v>
      </c>
      <c r="B123" s="489" t="s">
        <v>343</v>
      </c>
      <c r="C123" s="565"/>
      <c r="D123" s="558">
        <v>8716</v>
      </c>
      <c r="E123" s="559">
        <v>6932</v>
      </c>
      <c r="F123" s="559">
        <v>6283</v>
      </c>
      <c r="G123" s="559">
        <v>4826</v>
      </c>
      <c r="H123" s="560">
        <v>3605</v>
      </c>
      <c r="I123" s="561">
        <f t="shared" si="108"/>
        <v>0.69619157530294284</v>
      </c>
      <c r="J123" s="562">
        <f t="shared" si="109"/>
        <v>0.76810440872194807</v>
      </c>
      <c r="K123" s="558">
        <v>10409</v>
      </c>
      <c r="L123" s="559">
        <v>8107</v>
      </c>
      <c r="M123" s="559">
        <v>7638</v>
      </c>
      <c r="N123" s="559">
        <v>5122</v>
      </c>
      <c r="O123" s="560">
        <v>3755</v>
      </c>
      <c r="P123" s="561">
        <f t="shared" si="110"/>
        <v>0.63179967928950287</v>
      </c>
      <c r="Q123" s="562">
        <f t="shared" si="111"/>
        <v>0.67059439643885832</v>
      </c>
      <c r="R123" s="558">
        <v>10554</v>
      </c>
      <c r="S123" s="559">
        <v>7990</v>
      </c>
      <c r="T123" s="559">
        <v>7523</v>
      </c>
      <c r="U123" s="559">
        <v>4814</v>
      </c>
      <c r="V123" s="560">
        <v>3614</v>
      </c>
      <c r="W123" s="561">
        <f t="shared" si="106"/>
        <v>0.60250312891113889</v>
      </c>
      <c r="X123" s="562">
        <f t="shared" si="107"/>
        <v>0.6399042934999335</v>
      </c>
      <c r="Y123" s="558">
        <v>9198</v>
      </c>
      <c r="Z123" s="559">
        <v>7186</v>
      </c>
      <c r="AA123" s="559">
        <v>6888</v>
      </c>
      <c r="AB123" s="559">
        <v>4777</v>
      </c>
      <c r="AC123" s="560">
        <v>3466</v>
      </c>
      <c r="AD123" s="561">
        <f t="shared" si="112"/>
        <v>0.66476482048427499</v>
      </c>
      <c r="AE123" s="562">
        <f t="shared" si="113"/>
        <v>0.69352497096399535</v>
      </c>
      <c r="AF123" s="558">
        <v>7993</v>
      </c>
      <c r="AG123" s="559">
        <v>6347</v>
      </c>
      <c r="AH123" s="559">
        <v>6077</v>
      </c>
      <c r="AI123" s="559">
        <v>4373</v>
      </c>
      <c r="AJ123" s="560">
        <v>3267</v>
      </c>
      <c r="AK123" s="561">
        <f t="shared" si="172"/>
        <v>0.68898692295572717</v>
      </c>
      <c r="AL123" s="562">
        <f t="shared" si="173"/>
        <v>0.71959848609511268</v>
      </c>
      <c r="AM123" s="558">
        <v>7108</v>
      </c>
      <c r="AN123" s="559">
        <v>5524</v>
      </c>
      <c r="AO123" s="559">
        <v>5266</v>
      </c>
      <c r="AP123" s="559">
        <v>3840</v>
      </c>
      <c r="AQ123" s="560">
        <v>2891</v>
      </c>
      <c r="AR123" s="561">
        <f t="shared" si="174"/>
        <v>0.69514844315713253</v>
      </c>
      <c r="AS123" s="562">
        <f t="shared" si="175"/>
        <v>0.72920622863653628</v>
      </c>
      <c r="AT123" s="558">
        <v>6593</v>
      </c>
      <c r="AU123" s="559">
        <v>5142</v>
      </c>
      <c r="AV123" s="559">
        <v>4893</v>
      </c>
      <c r="AW123" s="559">
        <v>3447</v>
      </c>
      <c r="AX123" s="560">
        <v>2462</v>
      </c>
      <c r="AY123" s="561">
        <f t="shared" si="176"/>
        <v>0.67036172695449237</v>
      </c>
      <c r="AZ123" s="562">
        <f t="shared" si="177"/>
        <v>0.70447578172900061</v>
      </c>
      <c r="BA123" s="558">
        <v>5823</v>
      </c>
      <c r="BB123" s="559">
        <v>4639</v>
      </c>
      <c r="BC123" s="559">
        <v>4414</v>
      </c>
      <c r="BD123" s="559">
        <v>3295</v>
      </c>
      <c r="BE123" s="560">
        <v>2424</v>
      </c>
      <c r="BF123" s="561">
        <f t="shared" si="178"/>
        <v>0.71028238844578573</v>
      </c>
      <c r="BG123" s="562">
        <f t="shared" si="179"/>
        <v>0.74648844585410057</v>
      </c>
      <c r="BH123" s="558">
        <v>5334</v>
      </c>
      <c r="BI123" s="559">
        <v>4255</v>
      </c>
      <c r="BJ123" s="559">
        <v>3881</v>
      </c>
      <c r="BK123" s="559">
        <v>3156</v>
      </c>
      <c r="BL123" s="560">
        <v>2250</v>
      </c>
      <c r="BM123" s="561">
        <f t="shared" ref="BM123:BM130" si="200">BK123/BI123</f>
        <v>0.74171562867215046</v>
      </c>
      <c r="BN123" s="562">
        <f t="shared" ref="BN123:BN130" si="201">BK123/BJ123</f>
        <v>0.8131924761659366</v>
      </c>
      <c r="BO123" s="558">
        <v>5254</v>
      </c>
      <c r="BP123" s="559">
        <v>4223</v>
      </c>
      <c r="BQ123" s="559">
        <v>3829</v>
      </c>
      <c r="BR123" s="559">
        <v>3183</v>
      </c>
      <c r="BS123" s="560">
        <v>2298</v>
      </c>
      <c r="BT123" s="561">
        <f t="shared" ref="BT123:BT130" si="202">BR123/BP123</f>
        <v>0.75372957613071279</v>
      </c>
      <c r="BU123" s="562">
        <f t="shared" ref="BU123:BU130" si="203">BR123/BQ123</f>
        <v>0.83128754243927916</v>
      </c>
      <c r="BV123" s="558">
        <v>5650</v>
      </c>
      <c r="BW123" s="559">
        <v>4491</v>
      </c>
      <c r="BX123" s="559">
        <v>4082</v>
      </c>
      <c r="BY123" s="559">
        <v>3346</v>
      </c>
      <c r="BZ123" s="560">
        <v>2441</v>
      </c>
      <c r="CA123" s="561">
        <f t="shared" ref="CA123:CA130" si="204">BY123/BW123</f>
        <v>0.74504564684925412</v>
      </c>
      <c r="CB123" s="562">
        <f t="shared" ref="CB123:CB130" si="205">BY123/BX123</f>
        <v>0.8196962273395394</v>
      </c>
      <c r="CC123" s="558">
        <v>5577</v>
      </c>
      <c r="CD123" s="559">
        <v>4386</v>
      </c>
      <c r="CE123" s="559">
        <v>4080</v>
      </c>
      <c r="CF123" s="559">
        <v>3279</v>
      </c>
      <c r="CG123" s="560">
        <v>2519</v>
      </c>
      <c r="CH123" s="561">
        <f t="shared" ref="CH123:CH130" si="206">CF123/CD123</f>
        <v>0.74760601915184677</v>
      </c>
      <c r="CI123" s="562">
        <f t="shared" ref="CI123:CI130" si="207">CF123/CE123</f>
        <v>0.80367647058823533</v>
      </c>
      <c r="CJ123" s="558">
        <v>5794</v>
      </c>
      <c r="CK123" s="559">
        <v>4434</v>
      </c>
      <c r="CL123" s="559">
        <v>4085</v>
      </c>
      <c r="CM123" s="559">
        <v>2666</v>
      </c>
      <c r="CN123" s="560">
        <v>2080</v>
      </c>
      <c r="CO123" s="561">
        <f t="shared" ref="CO123:CO130" si="208">CM123/CK123</f>
        <v>0.60126296797474066</v>
      </c>
      <c r="CP123" s="664">
        <f t="shared" ref="CP123:CP130" si="209">CM123/CL123</f>
        <v>0.65263157894736845</v>
      </c>
      <c r="CQ123" s="561">
        <v>0.70771312584573753</v>
      </c>
      <c r="CR123" s="562">
        <v>0.7681762545899633</v>
      </c>
      <c r="CS123" s="558">
        <v>5669</v>
      </c>
      <c r="CT123" s="559">
        <v>4303</v>
      </c>
      <c r="CU123" s="559">
        <v>3820</v>
      </c>
      <c r="CV123" s="559">
        <v>2577</v>
      </c>
      <c r="CW123" s="560">
        <v>1989</v>
      </c>
      <c r="CX123" s="561">
        <f t="shared" ref="CX123:CX130" si="210">CV123/CT123</f>
        <v>0.59888449918661402</v>
      </c>
      <c r="CY123" s="664">
        <f t="shared" ref="CY123:CY130" si="211">CV123/CU123</f>
        <v>0.67460732984293192</v>
      </c>
      <c r="CZ123" s="561">
        <v>0.75087148501045786</v>
      </c>
      <c r="DA123" s="562">
        <v>0.84581151832460733</v>
      </c>
      <c r="DB123" s="558">
        <v>6279</v>
      </c>
      <c r="DC123" s="559">
        <v>4537</v>
      </c>
      <c r="DD123" s="559">
        <v>4095</v>
      </c>
      <c r="DE123" s="559">
        <v>3012</v>
      </c>
      <c r="DF123" s="560">
        <v>2280</v>
      </c>
      <c r="DG123" s="561">
        <f t="shared" ref="DG123:DG130" si="212">DE123/DC123</f>
        <v>0.66387480714128277</v>
      </c>
      <c r="DH123" s="664">
        <f t="shared" ref="DH123:DH130" si="213">DE123/DD123</f>
        <v>0.73553113553113558</v>
      </c>
      <c r="DI123" s="561">
        <v>0.76438175005510245</v>
      </c>
      <c r="DJ123" s="562">
        <v>0.84688644688644688</v>
      </c>
      <c r="DK123" s="558">
        <v>6605</v>
      </c>
      <c r="DL123" s="559">
        <v>4799</v>
      </c>
      <c r="DM123" s="559">
        <v>4259</v>
      </c>
      <c r="DN123" s="559">
        <v>2984</v>
      </c>
      <c r="DO123" s="560">
        <v>2314</v>
      </c>
      <c r="DP123" s="561">
        <f t="shared" ref="DP123:DP130" si="214">DN123/DL123</f>
        <v>0.62179620754323817</v>
      </c>
      <c r="DQ123" s="664">
        <f t="shared" ref="DQ123:DQ130" si="215">DN123/DM123</f>
        <v>0.7006339516318385</v>
      </c>
      <c r="DR123" s="561">
        <v>0.69743696603459049</v>
      </c>
      <c r="DS123" s="562">
        <v>0.78586522657900915</v>
      </c>
      <c r="DT123" s="558">
        <v>7888</v>
      </c>
      <c r="DU123" s="559">
        <v>5511</v>
      </c>
      <c r="DV123" s="559">
        <v>4980</v>
      </c>
      <c r="DW123" s="559">
        <v>3549</v>
      </c>
      <c r="DX123" s="560">
        <v>2653</v>
      </c>
      <c r="DY123" s="561">
        <f t="shared" ref="DY123:DY130" si="216">DW123/DU123</f>
        <v>0.64398475775721287</v>
      </c>
      <c r="DZ123" s="664">
        <f t="shared" ref="DZ123:DZ130" si="217">DW123/DV123</f>
        <v>0.71265060240963851</v>
      </c>
      <c r="EA123" s="561">
        <v>0.71257485029940115</v>
      </c>
      <c r="EB123" s="562">
        <v>0.78855421686746985</v>
      </c>
    </row>
    <row r="124" spans="1:132" s="2" customFormat="1" x14ac:dyDescent="0.25">
      <c r="A124" s="496" t="s">
        <v>342</v>
      </c>
      <c r="B124" s="497" t="s">
        <v>344</v>
      </c>
      <c r="C124" s="567" t="s">
        <v>345</v>
      </c>
      <c r="D124" s="545">
        <v>50</v>
      </c>
      <c r="E124" s="546">
        <v>50</v>
      </c>
      <c r="F124" s="546">
        <v>50</v>
      </c>
      <c r="G124" s="546">
        <v>10</v>
      </c>
      <c r="H124" s="546">
        <v>10</v>
      </c>
      <c r="I124" s="547">
        <f t="shared" si="108"/>
        <v>0.2</v>
      </c>
      <c r="J124" s="548">
        <f t="shared" si="109"/>
        <v>0.2</v>
      </c>
      <c r="K124" s="545">
        <v>46</v>
      </c>
      <c r="L124" s="546">
        <v>46</v>
      </c>
      <c r="M124" s="546">
        <v>45</v>
      </c>
      <c r="N124" s="546">
        <v>17</v>
      </c>
      <c r="O124" s="546">
        <v>17</v>
      </c>
      <c r="P124" s="547">
        <f t="shared" si="110"/>
        <v>0.36956521739130432</v>
      </c>
      <c r="Q124" s="548">
        <f t="shared" si="111"/>
        <v>0.37777777777777777</v>
      </c>
      <c r="R124" s="545">
        <v>35</v>
      </c>
      <c r="S124" s="546">
        <v>34</v>
      </c>
      <c r="T124" s="546">
        <v>34</v>
      </c>
      <c r="U124" s="546">
        <v>12</v>
      </c>
      <c r="V124" s="546">
        <v>11</v>
      </c>
      <c r="W124" s="547">
        <f t="shared" si="106"/>
        <v>0.35294117647058826</v>
      </c>
      <c r="X124" s="548">
        <f t="shared" si="107"/>
        <v>0.35294117647058826</v>
      </c>
      <c r="Y124" s="545">
        <v>39</v>
      </c>
      <c r="Z124" s="546">
        <v>36</v>
      </c>
      <c r="AA124" s="546">
        <v>36</v>
      </c>
      <c r="AB124" s="546">
        <v>12</v>
      </c>
      <c r="AC124" s="546">
        <v>11</v>
      </c>
      <c r="AD124" s="547">
        <f t="shared" si="112"/>
        <v>0.33333333333333331</v>
      </c>
      <c r="AE124" s="548">
        <f t="shared" si="113"/>
        <v>0.33333333333333331</v>
      </c>
      <c r="AF124" s="545">
        <v>32</v>
      </c>
      <c r="AG124" s="546">
        <v>30</v>
      </c>
      <c r="AH124" s="546">
        <v>25</v>
      </c>
      <c r="AI124" s="546">
        <v>12</v>
      </c>
      <c r="AJ124" s="546">
        <v>11</v>
      </c>
      <c r="AK124" s="547">
        <f t="shared" si="172"/>
        <v>0.4</v>
      </c>
      <c r="AL124" s="548">
        <f t="shared" si="173"/>
        <v>0.48</v>
      </c>
      <c r="AM124" s="545">
        <v>57</v>
      </c>
      <c r="AN124" s="546">
        <v>56</v>
      </c>
      <c r="AO124" s="546">
        <v>33</v>
      </c>
      <c r="AP124" s="546">
        <v>16</v>
      </c>
      <c r="AQ124" s="546">
        <v>15</v>
      </c>
      <c r="AR124" s="547">
        <f t="shared" si="174"/>
        <v>0.2857142857142857</v>
      </c>
      <c r="AS124" s="548">
        <f t="shared" si="175"/>
        <v>0.48484848484848486</v>
      </c>
      <c r="AT124" s="545">
        <v>53</v>
      </c>
      <c r="AU124" s="546">
        <v>52</v>
      </c>
      <c r="AV124" s="546">
        <v>44</v>
      </c>
      <c r="AW124" s="546">
        <v>14</v>
      </c>
      <c r="AX124" s="546">
        <v>12</v>
      </c>
      <c r="AY124" s="547">
        <f t="shared" si="176"/>
        <v>0.26923076923076922</v>
      </c>
      <c r="AZ124" s="548">
        <f t="shared" si="177"/>
        <v>0.31818181818181818</v>
      </c>
      <c r="BA124" s="545">
        <v>43</v>
      </c>
      <c r="BB124" s="546">
        <v>43</v>
      </c>
      <c r="BC124" s="546">
        <v>38</v>
      </c>
      <c r="BD124" s="546">
        <v>13</v>
      </c>
      <c r="BE124" s="546">
        <v>13</v>
      </c>
      <c r="BF124" s="547">
        <f t="shared" si="178"/>
        <v>0.30232558139534882</v>
      </c>
      <c r="BG124" s="548">
        <f t="shared" si="179"/>
        <v>0.34210526315789475</v>
      </c>
      <c r="BH124" s="545">
        <v>28</v>
      </c>
      <c r="BI124" s="546">
        <v>28</v>
      </c>
      <c r="BJ124" s="546">
        <v>21</v>
      </c>
      <c r="BK124" s="546">
        <v>14</v>
      </c>
      <c r="BL124" s="546">
        <v>14</v>
      </c>
      <c r="BM124" s="547">
        <f t="shared" si="200"/>
        <v>0.5</v>
      </c>
      <c r="BN124" s="548">
        <f t="shared" si="201"/>
        <v>0.66666666666666663</v>
      </c>
      <c r="BO124" s="545">
        <v>37</v>
      </c>
      <c r="BP124" s="546">
        <v>37</v>
      </c>
      <c r="BQ124" s="546">
        <v>32</v>
      </c>
      <c r="BR124" s="546">
        <v>13</v>
      </c>
      <c r="BS124" s="546">
        <v>12</v>
      </c>
      <c r="BT124" s="547">
        <f t="shared" si="202"/>
        <v>0.35135135135135137</v>
      </c>
      <c r="BU124" s="548">
        <f t="shared" si="203"/>
        <v>0.40625</v>
      </c>
      <c r="BV124" s="545">
        <v>31</v>
      </c>
      <c r="BW124" s="546">
        <v>31</v>
      </c>
      <c r="BX124" s="546">
        <v>26</v>
      </c>
      <c r="BY124" s="546">
        <v>14</v>
      </c>
      <c r="BZ124" s="546">
        <v>14</v>
      </c>
      <c r="CA124" s="547">
        <f t="shared" si="204"/>
        <v>0.45161290322580644</v>
      </c>
      <c r="CB124" s="548">
        <f t="shared" si="205"/>
        <v>0.53846153846153844</v>
      </c>
      <c r="CC124" s="545">
        <v>36</v>
      </c>
      <c r="CD124" s="546">
        <v>35</v>
      </c>
      <c r="CE124" s="546">
        <v>29</v>
      </c>
      <c r="CF124" s="546">
        <v>14</v>
      </c>
      <c r="CG124" s="546">
        <v>14</v>
      </c>
      <c r="CH124" s="547">
        <f t="shared" si="206"/>
        <v>0.4</v>
      </c>
      <c r="CI124" s="548">
        <f t="shared" si="207"/>
        <v>0.48275862068965519</v>
      </c>
      <c r="CJ124" s="545">
        <v>45</v>
      </c>
      <c r="CK124" s="546">
        <v>45</v>
      </c>
      <c r="CL124" s="546">
        <v>39</v>
      </c>
      <c r="CM124" s="546">
        <v>14</v>
      </c>
      <c r="CN124" s="546">
        <v>12</v>
      </c>
      <c r="CO124" s="547">
        <f t="shared" si="208"/>
        <v>0.31111111111111112</v>
      </c>
      <c r="CP124" s="547">
        <f t="shared" si="209"/>
        <v>0.35897435897435898</v>
      </c>
      <c r="CQ124" s="547">
        <v>0.31111111111111112</v>
      </c>
      <c r="CR124" s="548">
        <v>0.35897435897435898</v>
      </c>
      <c r="CS124" s="545">
        <v>49</v>
      </c>
      <c r="CT124" s="546">
        <v>49</v>
      </c>
      <c r="CU124" s="546">
        <v>43</v>
      </c>
      <c r="CV124" s="546">
        <v>17</v>
      </c>
      <c r="CW124" s="546">
        <v>17</v>
      </c>
      <c r="CX124" s="547">
        <f t="shared" si="210"/>
        <v>0.34693877551020408</v>
      </c>
      <c r="CY124" s="547">
        <f t="shared" si="211"/>
        <v>0.39534883720930231</v>
      </c>
      <c r="CZ124" s="547">
        <v>0.34693877551020408</v>
      </c>
      <c r="DA124" s="548">
        <v>0.39534883720930231</v>
      </c>
      <c r="DB124" s="545">
        <v>45</v>
      </c>
      <c r="DC124" s="546">
        <v>45</v>
      </c>
      <c r="DD124" s="546">
        <v>37</v>
      </c>
      <c r="DE124" s="546">
        <v>16</v>
      </c>
      <c r="DF124" s="546">
        <v>15</v>
      </c>
      <c r="DG124" s="547">
        <f t="shared" si="212"/>
        <v>0.35555555555555557</v>
      </c>
      <c r="DH124" s="547">
        <f t="shared" si="213"/>
        <v>0.43243243243243246</v>
      </c>
      <c r="DI124" s="547">
        <v>0.35555555555555557</v>
      </c>
      <c r="DJ124" s="548">
        <v>0.43243243243243246</v>
      </c>
      <c r="DK124" s="545">
        <v>50</v>
      </c>
      <c r="DL124" s="546">
        <v>50</v>
      </c>
      <c r="DM124" s="546">
        <v>44</v>
      </c>
      <c r="DN124" s="546">
        <v>13</v>
      </c>
      <c r="DO124" s="546">
        <v>13</v>
      </c>
      <c r="DP124" s="547">
        <f t="shared" si="214"/>
        <v>0.26</v>
      </c>
      <c r="DQ124" s="547">
        <f t="shared" si="215"/>
        <v>0.29545454545454547</v>
      </c>
      <c r="DR124" s="547">
        <v>0.26</v>
      </c>
      <c r="DS124" s="548">
        <v>0.29545454545454547</v>
      </c>
      <c r="DT124" s="545">
        <v>68</v>
      </c>
      <c r="DU124" s="546">
        <v>68</v>
      </c>
      <c r="DV124" s="546">
        <v>54</v>
      </c>
      <c r="DW124" s="546">
        <v>16</v>
      </c>
      <c r="DX124" s="546">
        <v>16</v>
      </c>
      <c r="DY124" s="547">
        <f t="shared" si="216"/>
        <v>0.23529411764705882</v>
      </c>
      <c r="DZ124" s="547">
        <f t="shared" si="217"/>
        <v>0.29629629629629628</v>
      </c>
      <c r="EA124" s="547">
        <v>0.23529411764705882</v>
      </c>
      <c r="EB124" s="548">
        <v>0.29629629629629628</v>
      </c>
    </row>
    <row r="125" spans="1:132" s="2" customFormat="1" x14ac:dyDescent="0.25">
      <c r="A125" s="503" t="s">
        <v>342</v>
      </c>
      <c r="B125" s="504" t="s">
        <v>346</v>
      </c>
      <c r="C125" s="505" t="s">
        <v>347</v>
      </c>
      <c r="D125" s="545">
        <v>1863</v>
      </c>
      <c r="E125" s="507">
        <v>1483</v>
      </c>
      <c r="F125" s="507">
        <v>1199</v>
      </c>
      <c r="G125" s="507">
        <v>834</v>
      </c>
      <c r="H125" s="507">
        <v>612</v>
      </c>
      <c r="I125" s="508">
        <f t="shared" si="108"/>
        <v>0.56237356709372888</v>
      </c>
      <c r="J125" s="509">
        <f t="shared" si="109"/>
        <v>0.69557964970809005</v>
      </c>
      <c r="K125" s="545">
        <v>2043</v>
      </c>
      <c r="L125" s="507">
        <v>1630</v>
      </c>
      <c r="M125" s="507">
        <v>1316</v>
      </c>
      <c r="N125" s="507">
        <v>796</v>
      </c>
      <c r="O125" s="507">
        <v>590</v>
      </c>
      <c r="P125" s="508">
        <f t="shared" si="110"/>
        <v>0.4883435582822086</v>
      </c>
      <c r="Q125" s="509">
        <f t="shared" si="111"/>
        <v>0.60486322188449848</v>
      </c>
      <c r="R125" s="545">
        <v>1809</v>
      </c>
      <c r="S125" s="507">
        <v>1421</v>
      </c>
      <c r="T125" s="507">
        <v>1161</v>
      </c>
      <c r="U125" s="507">
        <v>709</v>
      </c>
      <c r="V125" s="507">
        <v>571</v>
      </c>
      <c r="W125" s="508">
        <f t="shared" si="106"/>
        <v>0.49894440534834622</v>
      </c>
      <c r="X125" s="509">
        <f t="shared" si="107"/>
        <v>0.61068044788975018</v>
      </c>
      <c r="Y125" s="545">
        <v>1703</v>
      </c>
      <c r="Z125" s="507">
        <v>1332</v>
      </c>
      <c r="AA125" s="507">
        <v>1094</v>
      </c>
      <c r="AB125" s="507">
        <v>818</v>
      </c>
      <c r="AC125" s="507">
        <v>595</v>
      </c>
      <c r="AD125" s="508">
        <f t="shared" si="112"/>
        <v>0.6141141141141141</v>
      </c>
      <c r="AE125" s="509">
        <f t="shared" si="113"/>
        <v>0.74771480804387569</v>
      </c>
      <c r="AF125" s="545">
        <v>1573</v>
      </c>
      <c r="AG125" s="507">
        <v>1241</v>
      </c>
      <c r="AH125" s="507">
        <v>1026</v>
      </c>
      <c r="AI125" s="507">
        <v>754</v>
      </c>
      <c r="AJ125" s="507">
        <v>559</v>
      </c>
      <c r="AK125" s="508">
        <f t="shared" si="172"/>
        <v>0.60757453666398065</v>
      </c>
      <c r="AL125" s="509">
        <f t="shared" si="173"/>
        <v>0.73489278752436649</v>
      </c>
      <c r="AM125" s="545">
        <v>1194</v>
      </c>
      <c r="AN125" s="507">
        <v>955</v>
      </c>
      <c r="AO125" s="507">
        <v>784</v>
      </c>
      <c r="AP125" s="507">
        <v>581</v>
      </c>
      <c r="AQ125" s="507">
        <v>442</v>
      </c>
      <c r="AR125" s="508">
        <f t="shared" si="174"/>
        <v>0.60837696335078539</v>
      </c>
      <c r="AS125" s="509">
        <f t="shared" si="175"/>
        <v>0.7410714285714286</v>
      </c>
      <c r="AT125" s="545">
        <v>1188</v>
      </c>
      <c r="AU125" s="507">
        <v>953</v>
      </c>
      <c r="AV125" s="507">
        <v>756</v>
      </c>
      <c r="AW125" s="507">
        <v>525</v>
      </c>
      <c r="AX125" s="507">
        <v>364</v>
      </c>
      <c r="AY125" s="508">
        <f t="shared" si="176"/>
        <v>0.55089192025183631</v>
      </c>
      <c r="AZ125" s="509">
        <f t="shared" si="177"/>
        <v>0.69444444444444442</v>
      </c>
      <c r="BA125" s="545">
        <v>984</v>
      </c>
      <c r="BB125" s="507">
        <v>779</v>
      </c>
      <c r="BC125" s="507">
        <v>623</v>
      </c>
      <c r="BD125" s="507">
        <v>442</v>
      </c>
      <c r="BE125" s="507">
        <v>326</v>
      </c>
      <c r="BF125" s="508">
        <f t="shared" si="178"/>
        <v>0.56739409499358151</v>
      </c>
      <c r="BG125" s="509">
        <f t="shared" si="179"/>
        <v>0.70947030497592301</v>
      </c>
      <c r="BH125" s="545">
        <v>936</v>
      </c>
      <c r="BI125" s="507">
        <v>733</v>
      </c>
      <c r="BJ125" s="507">
        <v>593</v>
      </c>
      <c r="BK125" s="507">
        <v>412</v>
      </c>
      <c r="BL125" s="507">
        <v>291</v>
      </c>
      <c r="BM125" s="508">
        <f t="shared" si="200"/>
        <v>0.56207366984993179</v>
      </c>
      <c r="BN125" s="509">
        <f t="shared" si="201"/>
        <v>0.69477234401349075</v>
      </c>
      <c r="BO125" s="545">
        <v>964</v>
      </c>
      <c r="BP125" s="507">
        <v>768</v>
      </c>
      <c r="BQ125" s="507">
        <v>604</v>
      </c>
      <c r="BR125" s="507">
        <v>465</v>
      </c>
      <c r="BS125" s="507">
        <v>318</v>
      </c>
      <c r="BT125" s="508">
        <f t="shared" si="202"/>
        <v>0.60546875</v>
      </c>
      <c r="BU125" s="509">
        <f t="shared" si="203"/>
        <v>0.76986754966887416</v>
      </c>
      <c r="BV125" s="545">
        <v>945</v>
      </c>
      <c r="BW125" s="507">
        <v>769</v>
      </c>
      <c r="BX125" s="507">
        <v>603</v>
      </c>
      <c r="BY125" s="507">
        <v>444</v>
      </c>
      <c r="BZ125" s="507">
        <v>306</v>
      </c>
      <c r="CA125" s="508">
        <f t="shared" si="204"/>
        <v>0.57737321196358904</v>
      </c>
      <c r="CB125" s="509">
        <f t="shared" si="205"/>
        <v>0.73631840796019898</v>
      </c>
      <c r="CC125" s="545">
        <v>973</v>
      </c>
      <c r="CD125" s="507">
        <v>812</v>
      </c>
      <c r="CE125" s="507">
        <v>812</v>
      </c>
      <c r="CF125" s="507">
        <v>522</v>
      </c>
      <c r="CG125" s="507">
        <v>316</v>
      </c>
      <c r="CH125" s="508">
        <f t="shared" si="206"/>
        <v>0.6428571428571429</v>
      </c>
      <c r="CI125" s="509">
        <f t="shared" si="207"/>
        <v>0.6428571428571429</v>
      </c>
      <c r="CJ125" s="545">
        <v>1212</v>
      </c>
      <c r="CK125" s="507">
        <v>943</v>
      </c>
      <c r="CL125" s="507">
        <v>873</v>
      </c>
      <c r="CM125" s="507">
        <v>448</v>
      </c>
      <c r="CN125" s="507">
        <v>280</v>
      </c>
      <c r="CO125" s="508">
        <f t="shared" si="208"/>
        <v>0.4750795334040297</v>
      </c>
      <c r="CP125" s="508">
        <f t="shared" si="209"/>
        <v>0.51317296678121416</v>
      </c>
      <c r="CQ125" s="508">
        <v>0.4750795334040297</v>
      </c>
      <c r="CR125" s="509">
        <v>0.51317296678121416</v>
      </c>
      <c r="CS125" s="545">
        <v>1027</v>
      </c>
      <c r="CT125" s="507">
        <v>789</v>
      </c>
      <c r="CU125" s="507">
        <v>690</v>
      </c>
      <c r="CV125" s="507">
        <v>387</v>
      </c>
      <c r="CW125" s="507">
        <v>301</v>
      </c>
      <c r="CX125" s="508">
        <f t="shared" si="210"/>
        <v>0.49049429657794674</v>
      </c>
      <c r="CY125" s="508">
        <f t="shared" si="211"/>
        <v>0.56086956521739129</v>
      </c>
      <c r="CZ125" s="508">
        <v>0.58174904942965777</v>
      </c>
      <c r="DA125" s="509">
        <v>0.66521739130434787</v>
      </c>
      <c r="DB125" s="545">
        <v>1186</v>
      </c>
      <c r="DC125" s="507">
        <v>895</v>
      </c>
      <c r="DD125" s="507">
        <v>746</v>
      </c>
      <c r="DE125" s="507">
        <v>374</v>
      </c>
      <c r="DF125" s="507">
        <v>293</v>
      </c>
      <c r="DG125" s="508">
        <f t="shared" si="212"/>
        <v>0.41787709497206704</v>
      </c>
      <c r="DH125" s="508">
        <f t="shared" si="213"/>
        <v>0.50134048257372654</v>
      </c>
      <c r="DI125" s="508">
        <v>0.5229050279329609</v>
      </c>
      <c r="DJ125" s="509">
        <v>0.62734584450402142</v>
      </c>
      <c r="DK125" s="545">
        <v>1074</v>
      </c>
      <c r="DL125" s="507">
        <v>846</v>
      </c>
      <c r="DM125" s="507">
        <v>705</v>
      </c>
      <c r="DN125" s="507">
        <v>346</v>
      </c>
      <c r="DO125" s="507">
        <v>254</v>
      </c>
      <c r="DP125" s="508">
        <f t="shared" si="214"/>
        <v>0.40898345153664301</v>
      </c>
      <c r="DQ125" s="508">
        <f t="shared" si="215"/>
        <v>0.49078014184397162</v>
      </c>
      <c r="DR125" s="508">
        <v>0.49172576832151299</v>
      </c>
      <c r="DS125" s="509">
        <v>0.59007092198581557</v>
      </c>
      <c r="DT125" s="545">
        <v>1199</v>
      </c>
      <c r="DU125" s="507">
        <v>911</v>
      </c>
      <c r="DV125" s="507">
        <v>768</v>
      </c>
      <c r="DW125" s="507">
        <v>448</v>
      </c>
      <c r="DX125" s="507">
        <v>330</v>
      </c>
      <c r="DY125" s="508">
        <f t="shared" si="216"/>
        <v>0.49176728869374314</v>
      </c>
      <c r="DZ125" s="508">
        <f t="shared" si="217"/>
        <v>0.58333333333333337</v>
      </c>
      <c r="EA125" s="508">
        <v>0.56970362239297478</v>
      </c>
      <c r="EB125" s="509">
        <v>0.67578125</v>
      </c>
    </row>
    <row r="126" spans="1:132" s="2" customFormat="1" x14ac:dyDescent="0.25">
      <c r="A126" s="503" t="s">
        <v>342</v>
      </c>
      <c r="B126" s="504" t="s">
        <v>348</v>
      </c>
      <c r="C126" s="505" t="s">
        <v>349</v>
      </c>
      <c r="D126" s="506">
        <v>1516</v>
      </c>
      <c r="E126" s="507">
        <v>1306</v>
      </c>
      <c r="F126" s="507">
        <v>1305</v>
      </c>
      <c r="G126" s="507">
        <v>1131</v>
      </c>
      <c r="H126" s="507">
        <v>736</v>
      </c>
      <c r="I126" s="508">
        <f t="shared" si="108"/>
        <v>0.86600306278713635</v>
      </c>
      <c r="J126" s="509">
        <f t="shared" si="109"/>
        <v>0.8666666666666667</v>
      </c>
      <c r="K126" s="506">
        <v>1623</v>
      </c>
      <c r="L126" s="507">
        <v>1395</v>
      </c>
      <c r="M126" s="507">
        <v>1395</v>
      </c>
      <c r="N126" s="507">
        <v>1164</v>
      </c>
      <c r="O126" s="507">
        <v>743</v>
      </c>
      <c r="P126" s="508">
        <f t="shared" si="110"/>
        <v>0.83440860215053758</v>
      </c>
      <c r="Q126" s="509">
        <f t="shared" si="111"/>
        <v>0.83440860215053758</v>
      </c>
      <c r="R126" s="506">
        <v>1521</v>
      </c>
      <c r="S126" s="507">
        <v>1312</v>
      </c>
      <c r="T126" s="507">
        <v>1312</v>
      </c>
      <c r="U126" s="507">
        <v>952</v>
      </c>
      <c r="V126" s="507">
        <v>695</v>
      </c>
      <c r="W126" s="508">
        <f t="shared" si="106"/>
        <v>0.72560975609756095</v>
      </c>
      <c r="X126" s="509">
        <f t="shared" si="107"/>
        <v>0.72560975609756095</v>
      </c>
      <c r="Y126" s="506">
        <v>1312</v>
      </c>
      <c r="Z126" s="507">
        <v>1152</v>
      </c>
      <c r="AA126" s="507">
        <v>1152</v>
      </c>
      <c r="AB126" s="507">
        <v>930</v>
      </c>
      <c r="AC126" s="507">
        <v>614</v>
      </c>
      <c r="AD126" s="508">
        <f t="shared" si="112"/>
        <v>0.80729166666666663</v>
      </c>
      <c r="AE126" s="509">
        <f t="shared" si="113"/>
        <v>0.80729166666666663</v>
      </c>
      <c r="AF126" s="506">
        <v>1195</v>
      </c>
      <c r="AG126" s="507">
        <v>1051</v>
      </c>
      <c r="AH126" s="507">
        <v>1051</v>
      </c>
      <c r="AI126" s="507">
        <v>872</v>
      </c>
      <c r="AJ126" s="507">
        <v>570</v>
      </c>
      <c r="AK126" s="508">
        <f t="shared" si="172"/>
        <v>0.82968601332064695</v>
      </c>
      <c r="AL126" s="509">
        <f t="shared" si="173"/>
        <v>0.82968601332064695</v>
      </c>
      <c r="AM126" s="506">
        <v>1191</v>
      </c>
      <c r="AN126" s="507">
        <v>1014</v>
      </c>
      <c r="AO126" s="507">
        <v>1014</v>
      </c>
      <c r="AP126" s="507">
        <v>831</v>
      </c>
      <c r="AQ126" s="507">
        <v>522</v>
      </c>
      <c r="AR126" s="508">
        <f t="shared" si="174"/>
        <v>0.81952662721893488</v>
      </c>
      <c r="AS126" s="509">
        <f t="shared" si="175"/>
        <v>0.81952662721893488</v>
      </c>
      <c r="AT126" s="506">
        <v>1090</v>
      </c>
      <c r="AU126" s="507">
        <v>931</v>
      </c>
      <c r="AV126" s="507">
        <v>931</v>
      </c>
      <c r="AW126" s="507">
        <v>744</v>
      </c>
      <c r="AX126" s="507">
        <v>444</v>
      </c>
      <c r="AY126" s="508">
        <f t="shared" si="176"/>
        <v>0.79914070891514499</v>
      </c>
      <c r="AZ126" s="509">
        <f t="shared" si="177"/>
        <v>0.79914070891514499</v>
      </c>
      <c r="BA126" s="506">
        <v>947</v>
      </c>
      <c r="BB126" s="507">
        <v>804</v>
      </c>
      <c r="BC126" s="507">
        <v>804</v>
      </c>
      <c r="BD126" s="507">
        <v>631</v>
      </c>
      <c r="BE126" s="507">
        <v>385</v>
      </c>
      <c r="BF126" s="508">
        <f t="shared" si="178"/>
        <v>0.78482587064676612</v>
      </c>
      <c r="BG126" s="509">
        <f t="shared" si="179"/>
        <v>0.78482587064676612</v>
      </c>
      <c r="BH126" s="506">
        <v>934</v>
      </c>
      <c r="BI126" s="507">
        <v>832</v>
      </c>
      <c r="BJ126" s="507">
        <v>638</v>
      </c>
      <c r="BK126" s="507">
        <v>638</v>
      </c>
      <c r="BL126" s="507">
        <v>376</v>
      </c>
      <c r="BM126" s="508">
        <f t="shared" si="200"/>
        <v>0.76682692307692313</v>
      </c>
      <c r="BN126" s="509">
        <f t="shared" si="201"/>
        <v>1</v>
      </c>
      <c r="BO126" s="506">
        <v>905</v>
      </c>
      <c r="BP126" s="507">
        <v>794</v>
      </c>
      <c r="BQ126" s="507">
        <v>621</v>
      </c>
      <c r="BR126" s="507">
        <v>621</v>
      </c>
      <c r="BS126" s="507">
        <v>395</v>
      </c>
      <c r="BT126" s="508">
        <f t="shared" si="202"/>
        <v>0.78211586901763219</v>
      </c>
      <c r="BU126" s="509">
        <f t="shared" si="203"/>
        <v>1</v>
      </c>
      <c r="BV126" s="506">
        <v>1034</v>
      </c>
      <c r="BW126" s="507">
        <v>879</v>
      </c>
      <c r="BX126" s="507">
        <v>649</v>
      </c>
      <c r="BY126" s="507">
        <v>649</v>
      </c>
      <c r="BZ126" s="507">
        <v>420</v>
      </c>
      <c r="CA126" s="508">
        <f t="shared" si="204"/>
        <v>0.73833902161547216</v>
      </c>
      <c r="CB126" s="509">
        <f t="shared" si="205"/>
        <v>1</v>
      </c>
      <c r="CC126" s="506">
        <v>933</v>
      </c>
      <c r="CD126" s="507">
        <v>804</v>
      </c>
      <c r="CE126" s="507">
        <v>527</v>
      </c>
      <c r="CF126" s="507">
        <v>527</v>
      </c>
      <c r="CG126" s="507">
        <v>367</v>
      </c>
      <c r="CH126" s="508">
        <f t="shared" si="206"/>
        <v>0.65547263681592038</v>
      </c>
      <c r="CI126" s="509">
        <f t="shared" si="207"/>
        <v>1</v>
      </c>
      <c r="CJ126" s="506">
        <v>874</v>
      </c>
      <c r="CK126" s="507">
        <v>740</v>
      </c>
      <c r="CL126" s="507">
        <v>498</v>
      </c>
      <c r="CM126" s="507">
        <v>498</v>
      </c>
      <c r="CN126" s="507">
        <v>359</v>
      </c>
      <c r="CO126" s="508">
        <f t="shared" si="208"/>
        <v>0.67297297297297298</v>
      </c>
      <c r="CP126" s="508">
        <f t="shared" si="209"/>
        <v>1</v>
      </c>
      <c r="CQ126" s="508">
        <v>0.67297297297297298</v>
      </c>
      <c r="CR126" s="509">
        <v>1</v>
      </c>
      <c r="CS126" s="506">
        <v>760</v>
      </c>
      <c r="CT126" s="507">
        <v>644</v>
      </c>
      <c r="CU126" s="507">
        <v>419</v>
      </c>
      <c r="CV126" s="507">
        <v>419</v>
      </c>
      <c r="CW126" s="507">
        <v>269</v>
      </c>
      <c r="CX126" s="508">
        <f t="shared" si="210"/>
        <v>0.65062111801242239</v>
      </c>
      <c r="CY126" s="508">
        <f t="shared" si="211"/>
        <v>1</v>
      </c>
      <c r="CZ126" s="508">
        <v>0.65062111801242239</v>
      </c>
      <c r="DA126" s="509">
        <v>1</v>
      </c>
      <c r="DB126" s="506">
        <v>759</v>
      </c>
      <c r="DC126" s="507">
        <v>618</v>
      </c>
      <c r="DD126" s="507">
        <v>463</v>
      </c>
      <c r="DE126" s="507">
        <v>463</v>
      </c>
      <c r="DF126" s="507">
        <v>297</v>
      </c>
      <c r="DG126" s="508">
        <f t="shared" si="212"/>
        <v>0.7491909385113269</v>
      </c>
      <c r="DH126" s="508">
        <f t="shared" si="213"/>
        <v>1</v>
      </c>
      <c r="DI126" s="508">
        <v>0.7491909385113269</v>
      </c>
      <c r="DJ126" s="509">
        <v>1</v>
      </c>
      <c r="DK126" s="506">
        <v>814</v>
      </c>
      <c r="DL126" s="507">
        <v>684</v>
      </c>
      <c r="DM126" s="507">
        <v>520</v>
      </c>
      <c r="DN126" s="507">
        <v>517</v>
      </c>
      <c r="DO126" s="507">
        <v>351</v>
      </c>
      <c r="DP126" s="508">
        <f t="shared" si="214"/>
        <v>0.75584795321637432</v>
      </c>
      <c r="DQ126" s="508">
        <f t="shared" si="215"/>
        <v>0.99423076923076925</v>
      </c>
      <c r="DR126" s="508">
        <v>0.75584795321637432</v>
      </c>
      <c r="DS126" s="509">
        <v>0.99423076923076925</v>
      </c>
      <c r="DT126" s="506">
        <v>983</v>
      </c>
      <c r="DU126" s="507">
        <v>814</v>
      </c>
      <c r="DV126" s="507">
        <v>634</v>
      </c>
      <c r="DW126" s="507">
        <v>632</v>
      </c>
      <c r="DX126" s="507">
        <v>415</v>
      </c>
      <c r="DY126" s="508">
        <f t="shared" si="216"/>
        <v>0.7764127764127764</v>
      </c>
      <c r="DZ126" s="508">
        <f t="shared" si="217"/>
        <v>0.99684542586750791</v>
      </c>
      <c r="EA126" s="508">
        <v>0.7764127764127764</v>
      </c>
      <c r="EB126" s="509">
        <v>0.99684542586750791</v>
      </c>
    </row>
    <row r="127" spans="1:132" s="2" customFormat="1" x14ac:dyDescent="0.25">
      <c r="A127" s="503" t="s">
        <v>342</v>
      </c>
      <c r="B127" s="504" t="s">
        <v>350</v>
      </c>
      <c r="C127" s="505" t="s">
        <v>351</v>
      </c>
      <c r="D127" s="506">
        <v>2790</v>
      </c>
      <c r="E127" s="507">
        <v>2141</v>
      </c>
      <c r="F127" s="507">
        <v>1753</v>
      </c>
      <c r="G127" s="507">
        <v>1335</v>
      </c>
      <c r="H127" s="507">
        <v>1041</v>
      </c>
      <c r="I127" s="508">
        <f t="shared" si="108"/>
        <v>0.6235404016814573</v>
      </c>
      <c r="J127" s="509">
        <f t="shared" si="109"/>
        <v>0.76155162578436963</v>
      </c>
      <c r="K127" s="506">
        <v>3293</v>
      </c>
      <c r="L127" s="507">
        <v>2531</v>
      </c>
      <c r="M127" s="507">
        <v>2393</v>
      </c>
      <c r="N127" s="507">
        <v>1355</v>
      </c>
      <c r="O127" s="507">
        <v>994</v>
      </c>
      <c r="P127" s="508">
        <f t="shared" si="110"/>
        <v>0.53536151718688263</v>
      </c>
      <c r="Q127" s="509">
        <f t="shared" si="111"/>
        <v>0.56623485165064769</v>
      </c>
      <c r="R127" s="506">
        <v>3411</v>
      </c>
      <c r="S127" s="507">
        <v>2477</v>
      </c>
      <c r="T127" s="507">
        <v>2350</v>
      </c>
      <c r="U127" s="507">
        <v>1234</v>
      </c>
      <c r="V127" s="507">
        <v>797</v>
      </c>
      <c r="W127" s="508">
        <f t="shared" si="106"/>
        <v>0.49818328623334679</v>
      </c>
      <c r="X127" s="509">
        <f t="shared" si="107"/>
        <v>0.52510638297872336</v>
      </c>
      <c r="Y127" s="506">
        <v>2667</v>
      </c>
      <c r="Z127" s="507">
        <v>2013</v>
      </c>
      <c r="AA127" s="507">
        <v>2013</v>
      </c>
      <c r="AB127" s="507">
        <v>1192</v>
      </c>
      <c r="AC127" s="507">
        <v>728</v>
      </c>
      <c r="AD127" s="508">
        <f t="shared" si="112"/>
        <v>0.59215101838052653</v>
      </c>
      <c r="AE127" s="509">
        <f t="shared" si="113"/>
        <v>0.59215101838052653</v>
      </c>
      <c r="AF127" s="506">
        <v>2002</v>
      </c>
      <c r="AG127" s="507">
        <v>1509</v>
      </c>
      <c r="AH127" s="507">
        <v>1509</v>
      </c>
      <c r="AI127" s="507">
        <v>954</v>
      </c>
      <c r="AJ127" s="507">
        <v>628</v>
      </c>
      <c r="AK127" s="508">
        <f t="shared" si="172"/>
        <v>0.63220675944333993</v>
      </c>
      <c r="AL127" s="509">
        <f t="shared" si="173"/>
        <v>0.63220675944333993</v>
      </c>
      <c r="AM127" s="506">
        <v>1998</v>
      </c>
      <c r="AN127" s="507">
        <v>1497</v>
      </c>
      <c r="AO127" s="507">
        <v>1497</v>
      </c>
      <c r="AP127" s="507">
        <v>971</v>
      </c>
      <c r="AQ127" s="507">
        <v>672</v>
      </c>
      <c r="AR127" s="508">
        <f t="shared" si="174"/>
        <v>0.64863059452237803</v>
      </c>
      <c r="AS127" s="509">
        <f t="shared" si="175"/>
        <v>0.64863059452237803</v>
      </c>
      <c r="AT127" s="506">
        <v>1806</v>
      </c>
      <c r="AU127" s="507">
        <v>1371</v>
      </c>
      <c r="AV127" s="507">
        <v>1371</v>
      </c>
      <c r="AW127" s="507">
        <v>893</v>
      </c>
      <c r="AX127" s="507">
        <v>604</v>
      </c>
      <c r="AY127" s="508">
        <f t="shared" si="176"/>
        <v>0.65134938001458786</v>
      </c>
      <c r="AZ127" s="509">
        <f t="shared" si="177"/>
        <v>0.65134938001458786</v>
      </c>
      <c r="BA127" s="506">
        <v>1642</v>
      </c>
      <c r="BB127" s="507">
        <v>1268</v>
      </c>
      <c r="BC127" s="507">
        <v>1268</v>
      </c>
      <c r="BD127" s="507">
        <v>900</v>
      </c>
      <c r="BE127" s="507">
        <v>619</v>
      </c>
      <c r="BF127" s="508">
        <f t="shared" si="178"/>
        <v>0.70977917981072558</v>
      </c>
      <c r="BG127" s="509">
        <f t="shared" si="179"/>
        <v>0.70977917981072558</v>
      </c>
      <c r="BH127" s="506">
        <v>1455</v>
      </c>
      <c r="BI127" s="507">
        <v>1168</v>
      </c>
      <c r="BJ127" s="507">
        <v>1168</v>
      </c>
      <c r="BK127" s="507">
        <v>899</v>
      </c>
      <c r="BL127" s="507">
        <v>608</v>
      </c>
      <c r="BM127" s="508">
        <f t="shared" si="200"/>
        <v>0.7696917808219178</v>
      </c>
      <c r="BN127" s="509">
        <f t="shared" si="201"/>
        <v>0.7696917808219178</v>
      </c>
      <c r="BO127" s="506">
        <v>1344</v>
      </c>
      <c r="BP127" s="507">
        <v>1096</v>
      </c>
      <c r="BQ127" s="507">
        <v>1096</v>
      </c>
      <c r="BR127" s="507">
        <v>855</v>
      </c>
      <c r="BS127" s="507">
        <v>582</v>
      </c>
      <c r="BT127" s="508">
        <f t="shared" si="202"/>
        <v>0.7801094890510949</v>
      </c>
      <c r="BU127" s="509">
        <f t="shared" si="203"/>
        <v>0.7801094890510949</v>
      </c>
      <c r="BV127" s="506">
        <v>1645</v>
      </c>
      <c r="BW127" s="507">
        <v>1294</v>
      </c>
      <c r="BX127" s="507">
        <v>1294</v>
      </c>
      <c r="BY127" s="507">
        <v>978</v>
      </c>
      <c r="BZ127" s="507">
        <v>692</v>
      </c>
      <c r="CA127" s="508">
        <f t="shared" si="204"/>
        <v>0.75579598145285931</v>
      </c>
      <c r="CB127" s="509">
        <f t="shared" si="205"/>
        <v>0.75579598145285931</v>
      </c>
      <c r="CC127" s="506">
        <v>1764</v>
      </c>
      <c r="CD127" s="507">
        <v>1284</v>
      </c>
      <c r="CE127" s="507">
        <v>1284</v>
      </c>
      <c r="CF127" s="507">
        <v>923</v>
      </c>
      <c r="CG127" s="507">
        <v>732</v>
      </c>
      <c r="CH127" s="508">
        <f t="shared" si="206"/>
        <v>0.71884735202492211</v>
      </c>
      <c r="CI127" s="509">
        <f t="shared" si="207"/>
        <v>0.71884735202492211</v>
      </c>
      <c r="CJ127" s="506">
        <v>1786</v>
      </c>
      <c r="CK127" s="507">
        <v>1309</v>
      </c>
      <c r="CL127" s="507">
        <v>1309</v>
      </c>
      <c r="CM127" s="507">
        <v>639</v>
      </c>
      <c r="CN127" s="507">
        <v>474</v>
      </c>
      <c r="CO127" s="508">
        <f t="shared" si="208"/>
        <v>0.48815889992360578</v>
      </c>
      <c r="CP127" s="508">
        <f t="shared" si="209"/>
        <v>0.48815889992360578</v>
      </c>
      <c r="CQ127" s="508">
        <v>0.758594346829641</v>
      </c>
      <c r="CR127" s="509">
        <v>0.758594346829641</v>
      </c>
      <c r="CS127" s="506">
        <v>1796</v>
      </c>
      <c r="CT127" s="507">
        <v>1325</v>
      </c>
      <c r="CU127" s="507">
        <v>1325</v>
      </c>
      <c r="CV127" s="507">
        <v>746</v>
      </c>
      <c r="CW127" s="507">
        <v>498</v>
      </c>
      <c r="CX127" s="508">
        <f t="shared" si="210"/>
        <v>0.56301886792452827</v>
      </c>
      <c r="CY127" s="508">
        <f t="shared" si="211"/>
        <v>0.56301886792452827</v>
      </c>
      <c r="CZ127" s="508">
        <v>0.82566037735849052</v>
      </c>
      <c r="DA127" s="509">
        <v>0.82566037735849052</v>
      </c>
      <c r="DB127" s="506">
        <v>2129</v>
      </c>
      <c r="DC127" s="507">
        <v>1472</v>
      </c>
      <c r="DD127" s="507">
        <v>1472</v>
      </c>
      <c r="DE127" s="507">
        <v>821</v>
      </c>
      <c r="DF127" s="507">
        <v>553</v>
      </c>
      <c r="DG127" s="508">
        <f t="shared" si="212"/>
        <v>0.55774456521739135</v>
      </c>
      <c r="DH127" s="508">
        <f t="shared" si="213"/>
        <v>0.55774456521739135</v>
      </c>
      <c r="DI127" s="508">
        <v>0.79619565217391308</v>
      </c>
      <c r="DJ127" s="509">
        <v>0.79619565217391308</v>
      </c>
      <c r="DK127" s="506">
        <v>2236</v>
      </c>
      <c r="DL127" s="507">
        <v>1544</v>
      </c>
      <c r="DM127" s="507">
        <v>1464</v>
      </c>
      <c r="DN127" s="507">
        <v>775</v>
      </c>
      <c r="DO127" s="507">
        <v>594</v>
      </c>
      <c r="DP127" s="508">
        <f t="shared" si="214"/>
        <v>0.50194300518134716</v>
      </c>
      <c r="DQ127" s="508">
        <f t="shared" si="215"/>
        <v>0.52937158469945356</v>
      </c>
      <c r="DR127" s="508">
        <v>0.67681347150259064</v>
      </c>
      <c r="DS127" s="509">
        <v>0.71379781420765032</v>
      </c>
      <c r="DT127" s="506">
        <v>2483</v>
      </c>
      <c r="DU127" s="507">
        <v>1628</v>
      </c>
      <c r="DV127" s="507">
        <v>1628</v>
      </c>
      <c r="DW127" s="507">
        <v>901</v>
      </c>
      <c r="DX127" s="507">
        <v>597</v>
      </c>
      <c r="DY127" s="508">
        <f t="shared" si="216"/>
        <v>0.55343980343980348</v>
      </c>
      <c r="DZ127" s="508">
        <f t="shared" si="217"/>
        <v>0.55343980343980348</v>
      </c>
      <c r="EA127" s="508">
        <v>0.71928746928746934</v>
      </c>
      <c r="EB127" s="509">
        <v>0.71928746928746934</v>
      </c>
    </row>
    <row r="128" spans="1:132" s="2" customFormat="1" x14ac:dyDescent="0.25">
      <c r="A128" s="503" t="s">
        <v>342</v>
      </c>
      <c r="B128" s="504" t="s">
        <v>352</v>
      </c>
      <c r="C128" s="505" t="s">
        <v>353</v>
      </c>
      <c r="D128" s="506">
        <v>1019</v>
      </c>
      <c r="E128" s="507">
        <v>991</v>
      </c>
      <c r="F128" s="507">
        <v>991</v>
      </c>
      <c r="G128" s="507">
        <v>781</v>
      </c>
      <c r="H128" s="507">
        <v>634</v>
      </c>
      <c r="I128" s="508">
        <f t="shared" si="108"/>
        <v>0.78809283551967713</v>
      </c>
      <c r="J128" s="509">
        <f t="shared" si="109"/>
        <v>0.78809283551967713</v>
      </c>
      <c r="K128" s="506">
        <v>1635</v>
      </c>
      <c r="L128" s="507">
        <v>1577</v>
      </c>
      <c r="M128" s="507">
        <v>1577</v>
      </c>
      <c r="N128" s="507">
        <v>1008</v>
      </c>
      <c r="O128" s="507">
        <v>748</v>
      </c>
      <c r="P128" s="508">
        <f t="shared" si="110"/>
        <v>0.63918833227647431</v>
      </c>
      <c r="Q128" s="509">
        <f t="shared" si="111"/>
        <v>0.63918833227647431</v>
      </c>
      <c r="R128" s="506">
        <v>1734</v>
      </c>
      <c r="S128" s="507">
        <v>1616</v>
      </c>
      <c r="T128" s="507">
        <v>1616</v>
      </c>
      <c r="U128" s="507">
        <v>1153</v>
      </c>
      <c r="V128" s="507">
        <v>846</v>
      </c>
      <c r="W128" s="508">
        <f t="shared" si="106"/>
        <v>0.71349009900990101</v>
      </c>
      <c r="X128" s="509">
        <f t="shared" si="107"/>
        <v>0.71349009900990101</v>
      </c>
      <c r="Y128" s="506">
        <v>1627</v>
      </c>
      <c r="Z128" s="507">
        <v>1530</v>
      </c>
      <c r="AA128" s="507">
        <v>1530</v>
      </c>
      <c r="AB128" s="507">
        <v>1151</v>
      </c>
      <c r="AC128" s="507">
        <v>834</v>
      </c>
      <c r="AD128" s="508">
        <f t="shared" si="112"/>
        <v>0.7522875816993464</v>
      </c>
      <c r="AE128" s="509">
        <f t="shared" si="113"/>
        <v>0.7522875816993464</v>
      </c>
      <c r="AF128" s="506">
        <v>1530</v>
      </c>
      <c r="AG128" s="507">
        <v>1469</v>
      </c>
      <c r="AH128" s="507">
        <v>1469</v>
      </c>
      <c r="AI128" s="507">
        <v>1109</v>
      </c>
      <c r="AJ128" s="507">
        <v>853</v>
      </c>
      <c r="AK128" s="508">
        <f t="shared" si="172"/>
        <v>0.75493533015656911</v>
      </c>
      <c r="AL128" s="509">
        <f t="shared" si="173"/>
        <v>0.75493533015656911</v>
      </c>
      <c r="AM128" s="506">
        <v>1098</v>
      </c>
      <c r="AN128" s="507">
        <v>1027</v>
      </c>
      <c r="AO128" s="507">
        <v>1027</v>
      </c>
      <c r="AP128" s="507">
        <v>827</v>
      </c>
      <c r="AQ128" s="507">
        <v>647</v>
      </c>
      <c r="AR128" s="508">
        <f t="shared" si="174"/>
        <v>0.80525803310613442</v>
      </c>
      <c r="AS128" s="509">
        <f t="shared" si="175"/>
        <v>0.80525803310613442</v>
      </c>
      <c r="AT128" s="506">
        <v>962</v>
      </c>
      <c r="AU128" s="507">
        <v>896</v>
      </c>
      <c r="AV128" s="507">
        <v>896</v>
      </c>
      <c r="AW128" s="507">
        <v>650</v>
      </c>
      <c r="AX128" s="507">
        <v>504</v>
      </c>
      <c r="AY128" s="508">
        <f t="shared" si="176"/>
        <v>0.7254464285714286</v>
      </c>
      <c r="AZ128" s="509">
        <f t="shared" si="177"/>
        <v>0.7254464285714286</v>
      </c>
      <c r="BA128" s="506">
        <v>996</v>
      </c>
      <c r="BB128" s="507">
        <v>915</v>
      </c>
      <c r="BC128" s="507">
        <v>915</v>
      </c>
      <c r="BD128" s="507">
        <v>722</v>
      </c>
      <c r="BE128" s="507">
        <v>578</v>
      </c>
      <c r="BF128" s="508">
        <f t="shared" si="178"/>
        <v>0.78907103825136615</v>
      </c>
      <c r="BG128" s="509">
        <f t="shared" si="179"/>
        <v>0.78907103825136615</v>
      </c>
      <c r="BH128" s="506">
        <v>901</v>
      </c>
      <c r="BI128" s="507">
        <v>791</v>
      </c>
      <c r="BJ128" s="507">
        <v>791</v>
      </c>
      <c r="BK128" s="507">
        <v>629</v>
      </c>
      <c r="BL128" s="507">
        <v>493</v>
      </c>
      <c r="BM128" s="508">
        <f t="shared" si="200"/>
        <v>0.79519595448798985</v>
      </c>
      <c r="BN128" s="509">
        <f t="shared" si="201"/>
        <v>0.79519595448798985</v>
      </c>
      <c r="BO128" s="506">
        <v>889</v>
      </c>
      <c r="BP128" s="507">
        <v>778</v>
      </c>
      <c r="BQ128" s="507">
        <v>778</v>
      </c>
      <c r="BR128" s="507">
        <v>642</v>
      </c>
      <c r="BS128" s="507">
        <v>502</v>
      </c>
      <c r="BT128" s="508">
        <f t="shared" si="202"/>
        <v>0.82519280205655532</v>
      </c>
      <c r="BU128" s="509">
        <f t="shared" si="203"/>
        <v>0.82519280205655532</v>
      </c>
      <c r="BV128" s="506">
        <v>866</v>
      </c>
      <c r="BW128" s="507">
        <v>752</v>
      </c>
      <c r="BX128" s="507">
        <v>752</v>
      </c>
      <c r="BY128" s="507">
        <v>599</v>
      </c>
      <c r="BZ128" s="507">
        <v>496</v>
      </c>
      <c r="CA128" s="508">
        <f t="shared" si="204"/>
        <v>0.79654255319148937</v>
      </c>
      <c r="CB128" s="509">
        <f t="shared" si="205"/>
        <v>0.79654255319148937</v>
      </c>
      <c r="CC128" s="506">
        <v>769</v>
      </c>
      <c r="CD128" s="507">
        <v>695</v>
      </c>
      <c r="CE128" s="507">
        <v>695</v>
      </c>
      <c r="CF128" s="507">
        <v>695</v>
      </c>
      <c r="CG128" s="507">
        <v>578</v>
      </c>
      <c r="CH128" s="508">
        <f t="shared" si="206"/>
        <v>1</v>
      </c>
      <c r="CI128" s="509">
        <f t="shared" si="207"/>
        <v>1</v>
      </c>
      <c r="CJ128" s="506">
        <v>630</v>
      </c>
      <c r="CK128" s="507">
        <v>554</v>
      </c>
      <c r="CL128" s="507">
        <v>554</v>
      </c>
      <c r="CM128" s="507">
        <v>554</v>
      </c>
      <c r="CN128" s="507">
        <v>467</v>
      </c>
      <c r="CO128" s="508">
        <f t="shared" si="208"/>
        <v>1</v>
      </c>
      <c r="CP128" s="508">
        <f t="shared" si="209"/>
        <v>1</v>
      </c>
      <c r="CQ128" s="508">
        <v>1</v>
      </c>
      <c r="CR128" s="509">
        <v>1</v>
      </c>
      <c r="CS128" s="506">
        <v>891</v>
      </c>
      <c r="CT128" s="507">
        <v>780</v>
      </c>
      <c r="CU128" s="507">
        <v>780</v>
      </c>
      <c r="CV128" s="507">
        <v>605</v>
      </c>
      <c r="CW128" s="507">
        <v>485</v>
      </c>
      <c r="CX128" s="508">
        <f t="shared" si="210"/>
        <v>0.77564102564102566</v>
      </c>
      <c r="CY128" s="508">
        <f t="shared" si="211"/>
        <v>0.77564102564102566</v>
      </c>
      <c r="CZ128" s="508">
        <v>0.982051282051282</v>
      </c>
      <c r="DA128" s="509">
        <v>0.982051282051282</v>
      </c>
      <c r="DB128" s="506">
        <v>820</v>
      </c>
      <c r="DC128" s="507">
        <v>714</v>
      </c>
      <c r="DD128" s="507">
        <v>714</v>
      </c>
      <c r="DE128" s="507">
        <v>714</v>
      </c>
      <c r="DF128" s="507">
        <v>598</v>
      </c>
      <c r="DG128" s="508">
        <f t="shared" si="212"/>
        <v>1</v>
      </c>
      <c r="DH128" s="508">
        <f t="shared" si="213"/>
        <v>1</v>
      </c>
      <c r="DI128" s="508">
        <v>1</v>
      </c>
      <c r="DJ128" s="509">
        <v>1</v>
      </c>
      <c r="DK128" s="506">
        <v>871</v>
      </c>
      <c r="DL128" s="507">
        <v>733</v>
      </c>
      <c r="DM128" s="507">
        <v>733</v>
      </c>
      <c r="DN128" s="507">
        <v>728</v>
      </c>
      <c r="DO128" s="507">
        <v>583</v>
      </c>
      <c r="DP128" s="508">
        <f t="shared" si="214"/>
        <v>0.99317871759890863</v>
      </c>
      <c r="DQ128" s="508">
        <f t="shared" si="215"/>
        <v>0.99317871759890863</v>
      </c>
      <c r="DR128" s="508">
        <v>0.99317871759890863</v>
      </c>
      <c r="DS128" s="509">
        <v>0.99317871759890863</v>
      </c>
      <c r="DT128" s="506">
        <v>1286</v>
      </c>
      <c r="DU128" s="507">
        <v>1101</v>
      </c>
      <c r="DV128" s="507">
        <v>1101</v>
      </c>
      <c r="DW128" s="507">
        <v>854</v>
      </c>
      <c r="DX128" s="507">
        <v>692</v>
      </c>
      <c r="DY128" s="508">
        <f t="shared" si="216"/>
        <v>0.7756584922797457</v>
      </c>
      <c r="DZ128" s="508">
        <f t="shared" si="217"/>
        <v>0.7756584922797457</v>
      </c>
      <c r="EA128" s="508">
        <v>0.7756584922797457</v>
      </c>
      <c r="EB128" s="509">
        <v>0.7756584922797457</v>
      </c>
    </row>
    <row r="129" spans="1:132" s="2" customFormat="1" x14ac:dyDescent="0.25">
      <c r="A129" s="503" t="s">
        <v>342</v>
      </c>
      <c r="B129" s="526" t="s">
        <v>354</v>
      </c>
      <c r="C129" s="527" t="s">
        <v>317</v>
      </c>
      <c r="D129" s="506">
        <v>520</v>
      </c>
      <c r="E129" s="507">
        <v>509</v>
      </c>
      <c r="F129" s="507">
        <v>453</v>
      </c>
      <c r="G129" s="507">
        <v>207</v>
      </c>
      <c r="H129" s="507">
        <v>163</v>
      </c>
      <c r="I129" s="508">
        <f t="shared" si="108"/>
        <v>0.40667976424361491</v>
      </c>
      <c r="J129" s="509">
        <f t="shared" si="109"/>
        <v>0.45695364238410596</v>
      </c>
      <c r="K129" s="506">
        <v>795</v>
      </c>
      <c r="L129" s="507">
        <v>709</v>
      </c>
      <c r="M129" s="507">
        <v>627</v>
      </c>
      <c r="N129" s="507">
        <v>303</v>
      </c>
      <c r="O129" s="507">
        <v>241</v>
      </c>
      <c r="P129" s="508">
        <f t="shared" si="110"/>
        <v>0.42736248236953456</v>
      </c>
      <c r="Q129" s="509">
        <f t="shared" si="111"/>
        <v>0.48325358851674644</v>
      </c>
      <c r="R129" s="506">
        <v>1030</v>
      </c>
      <c r="S129" s="507">
        <v>879</v>
      </c>
      <c r="T129" s="507">
        <v>732</v>
      </c>
      <c r="U129" s="507">
        <v>343</v>
      </c>
      <c r="V129" s="507">
        <v>245</v>
      </c>
      <c r="W129" s="508">
        <f t="shared" si="106"/>
        <v>0.39021615472127419</v>
      </c>
      <c r="X129" s="509">
        <f t="shared" si="107"/>
        <v>0.46857923497267762</v>
      </c>
      <c r="Y129" s="506">
        <v>1001</v>
      </c>
      <c r="Z129" s="507">
        <v>864</v>
      </c>
      <c r="AA129" s="507">
        <v>760</v>
      </c>
      <c r="AB129" s="507">
        <v>323</v>
      </c>
      <c r="AC129" s="507">
        <v>264</v>
      </c>
      <c r="AD129" s="508">
        <f t="shared" si="112"/>
        <v>0.37384259259259262</v>
      </c>
      <c r="AE129" s="509">
        <f t="shared" si="113"/>
        <v>0.42499999999999999</v>
      </c>
      <c r="AF129" s="506">
        <v>939</v>
      </c>
      <c r="AG129" s="507">
        <v>814</v>
      </c>
      <c r="AH129" s="507">
        <v>725</v>
      </c>
      <c r="AI129" s="507">
        <v>374</v>
      </c>
      <c r="AJ129" s="507">
        <v>283</v>
      </c>
      <c r="AK129" s="508">
        <f t="shared" si="172"/>
        <v>0.45945945945945948</v>
      </c>
      <c r="AL129" s="509">
        <f t="shared" si="173"/>
        <v>0.51586206896551723</v>
      </c>
      <c r="AM129" s="506">
        <v>970</v>
      </c>
      <c r="AN129" s="507">
        <v>799</v>
      </c>
      <c r="AO129" s="507">
        <v>701</v>
      </c>
      <c r="AP129" s="507">
        <v>365</v>
      </c>
      <c r="AQ129" s="507">
        <v>279</v>
      </c>
      <c r="AR129" s="508">
        <f t="shared" si="174"/>
        <v>0.45682102628285359</v>
      </c>
      <c r="AS129" s="509">
        <f t="shared" si="175"/>
        <v>0.52068473609129817</v>
      </c>
      <c r="AT129" s="506">
        <v>901</v>
      </c>
      <c r="AU129" s="507">
        <v>766</v>
      </c>
      <c r="AV129" s="507">
        <v>679</v>
      </c>
      <c r="AW129" s="507">
        <v>378</v>
      </c>
      <c r="AX129" s="507">
        <v>253</v>
      </c>
      <c r="AY129" s="508">
        <f t="shared" si="176"/>
        <v>0.49347258485639689</v>
      </c>
      <c r="AZ129" s="509">
        <f t="shared" si="177"/>
        <v>0.55670103092783507</v>
      </c>
      <c r="BA129" s="506">
        <v>691</v>
      </c>
      <c r="BB129" s="507">
        <v>606</v>
      </c>
      <c r="BC129" s="507">
        <v>510</v>
      </c>
      <c r="BD129" s="507">
        <v>366</v>
      </c>
      <c r="BE129" s="507">
        <v>249</v>
      </c>
      <c r="BF129" s="508">
        <f t="shared" si="178"/>
        <v>0.60396039603960394</v>
      </c>
      <c r="BG129" s="509">
        <f t="shared" si="179"/>
        <v>0.71764705882352942</v>
      </c>
      <c r="BH129" s="506">
        <v>624</v>
      </c>
      <c r="BI129" s="507">
        <v>541</v>
      </c>
      <c r="BJ129" s="507">
        <v>460</v>
      </c>
      <c r="BK129" s="507">
        <v>409</v>
      </c>
      <c r="BL129" s="507">
        <v>271</v>
      </c>
      <c r="BM129" s="508">
        <f t="shared" si="200"/>
        <v>0.75600739371534198</v>
      </c>
      <c r="BN129" s="509">
        <f t="shared" si="201"/>
        <v>0.88913043478260867</v>
      </c>
      <c r="BO129" s="506">
        <v>680</v>
      </c>
      <c r="BP129" s="507">
        <v>583</v>
      </c>
      <c r="BQ129" s="507">
        <v>495</v>
      </c>
      <c r="BR129" s="507">
        <v>407</v>
      </c>
      <c r="BS129" s="507">
        <v>265</v>
      </c>
      <c r="BT129" s="508">
        <f t="shared" si="202"/>
        <v>0.69811320754716977</v>
      </c>
      <c r="BU129" s="509">
        <f t="shared" si="203"/>
        <v>0.82222222222222219</v>
      </c>
      <c r="BV129" s="506">
        <v>679</v>
      </c>
      <c r="BW129" s="507">
        <v>599</v>
      </c>
      <c r="BX129" s="507">
        <v>532</v>
      </c>
      <c r="BY129" s="507">
        <v>469</v>
      </c>
      <c r="BZ129" s="507">
        <v>303</v>
      </c>
      <c r="CA129" s="508">
        <f t="shared" si="204"/>
        <v>0.78297161936560933</v>
      </c>
      <c r="CB129" s="509">
        <f t="shared" si="205"/>
        <v>0.88157894736842102</v>
      </c>
      <c r="CC129" s="506">
        <v>686</v>
      </c>
      <c r="CD129" s="507">
        <v>590</v>
      </c>
      <c r="CE129" s="507">
        <v>527</v>
      </c>
      <c r="CF129" s="507">
        <v>429</v>
      </c>
      <c r="CG129" s="507">
        <v>303</v>
      </c>
      <c r="CH129" s="508">
        <f t="shared" si="206"/>
        <v>0.72711864406779658</v>
      </c>
      <c r="CI129" s="509">
        <f t="shared" si="207"/>
        <v>0.81404174573055033</v>
      </c>
      <c r="CJ129" s="506">
        <v>924</v>
      </c>
      <c r="CK129" s="507">
        <v>791</v>
      </c>
      <c r="CL129" s="507">
        <v>725</v>
      </c>
      <c r="CM129" s="507">
        <v>316</v>
      </c>
      <c r="CN129" s="507">
        <v>288</v>
      </c>
      <c r="CO129" s="508">
        <f t="shared" si="208"/>
        <v>0.39949431099873578</v>
      </c>
      <c r="CP129" s="508">
        <f t="shared" si="209"/>
        <v>0.43586206896551727</v>
      </c>
      <c r="CQ129" s="508">
        <v>0.53855878634639698</v>
      </c>
      <c r="CR129" s="509">
        <v>0.58758620689655172</v>
      </c>
      <c r="CS129" s="506">
        <v>786</v>
      </c>
      <c r="CT129" s="507">
        <v>661</v>
      </c>
      <c r="CU129" s="507">
        <v>578</v>
      </c>
      <c r="CV129" s="507">
        <v>291</v>
      </c>
      <c r="CW129" s="507">
        <v>269</v>
      </c>
      <c r="CX129" s="508">
        <f t="shared" si="210"/>
        <v>0.44024205748865358</v>
      </c>
      <c r="CY129" s="508">
        <f t="shared" si="211"/>
        <v>0.5034602076124568</v>
      </c>
      <c r="CZ129" s="508">
        <v>0.58245083207261727</v>
      </c>
      <c r="DA129" s="509">
        <v>0.66608996539792387</v>
      </c>
      <c r="DB129" s="506">
        <v>787</v>
      </c>
      <c r="DC129" s="507">
        <v>668</v>
      </c>
      <c r="DD129" s="507">
        <v>578</v>
      </c>
      <c r="DE129" s="507">
        <v>374</v>
      </c>
      <c r="DF129" s="507">
        <v>261</v>
      </c>
      <c r="DG129" s="508">
        <f t="shared" si="212"/>
        <v>0.55988023952095811</v>
      </c>
      <c r="DH129" s="508">
        <f t="shared" si="213"/>
        <v>0.6470588235294118</v>
      </c>
      <c r="DI129" s="508">
        <v>0.63023952095808389</v>
      </c>
      <c r="DJ129" s="509">
        <v>0.72837370242214527</v>
      </c>
      <c r="DK129" s="506">
        <v>998</v>
      </c>
      <c r="DL129" s="507">
        <v>842</v>
      </c>
      <c r="DM129" s="507">
        <v>739</v>
      </c>
      <c r="DN129" s="507">
        <v>385</v>
      </c>
      <c r="DO129" s="507">
        <v>272</v>
      </c>
      <c r="DP129" s="508">
        <f t="shared" si="214"/>
        <v>0.45724465558194777</v>
      </c>
      <c r="DQ129" s="508">
        <f t="shared" si="215"/>
        <v>0.52097428958051417</v>
      </c>
      <c r="DR129" s="508">
        <v>0.5106888361045131</v>
      </c>
      <c r="DS129" s="509">
        <v>0.58186738836265228</v>
      </c>
      <c r="DT129" s="506">
        <v>1224</v>
      </c>
      <c r="DU129" s="507">
        <v>963</v>
      </c>
      <c r="DV129" s="507">
        <v>839</v>
      </c>
      <c r="DW129" s="507">
        <v>502</v>
      </c>
      <c r="DX129" s="507">
        <v>329</v>
      </c>
      <c r="DY129" s="508">
        <f t="shared" si="216"/>
        <v>0.52128764278296991</v>
      </c>
      <c r="DZ129" s="508">
        <f t="shared" si="217"/>
        <v>0.59833134684147793</v>
      </c>
      <c r="EA129" s="508">
        <v>0.57632398753894076</v>
      </c>
      <c r="EB129" s="509">
        <v>0.66150178784266989</v>
      </c>
    </row>
    <row r="130" spans="1:132" s="2" customFormat="1" x14ac:dyDescent="0.25">
      <c r="A130" s="503" t="s">
        <v>342</v>
      </c>
      <c r="B130" s="526">
        <v>25530</v>
      </c>
      <c r="C130" s="527" t="s">
        <v>355</v>
      </c>
      <c r="D130" s="506">
        <v>958</v>
      </c>
      <c r="E130" s="529">
        <v>867</v>
      </c>
      <c r="F130" s="529">
        <v>867</v>
      </c>
      <c r="G130" s="529">
        <v>627</v>
      </c>
      <c r="H130" s="529">
        <v>425</v>
      </c>
      <c r="I130" s="530">
        <f t="shared" si="108"/>
        <v>0.72318339100346019</v>
      </c>
      <c r="J130" s="531">
        <f t="shared" si="109"/>
        <v>0.72318339100346019</v>
      </c>
      <c r="K130" s="506">
        <v>974</v>
      </c>
      <c r="L130" s="529">
        <v>893</v>
      </c>
      <c r="M130" s="529">
        <v>893</v>
      </c>
      <c r="N130" s="529">
        <v>672</v>
      </c>
      <c r="O130" s="529">
        <v>449</v>
      </c>
      <c r="P130" s="530">
        <f t="shared" si="110"/>
        <v>0.75251959686450165</v>
      </c>
      <c r="Q130" s="531">
        <f t="shared" si="111"/>
        <v>0.75251959686450165</v>
      </c>
      <c r="R130" s="506">
        <v>1014</v>
      </c>
      <c r="S130" s="529">
        <v>896</v>
      </c>
      <c r="T130" s="529">
        <v>896</v>
      </c>
      <c r="U130" s="529">
        <v>593</v>
      </c>
      <c r="V130" s="529">
        <v>472</v>
      </c>
      <c r="W130" s="530">
        <f t="shared" si="106"/>
        <v>0.6618303571428571</v>
      </c>
      <c r="X130" s="531">
        <f t="shared" si="107"/>
        <v>0.6618303571428571</v>
      </c>
      <c r="Y130" s="506">
        <v>849</v>
      </c>
      <c r="Z130" s="529">
        <v>759</v>
      </c>
      <c r="AA130" s="529">
        <v>759</v>
      </c>
      <c r="AB130" s="529">
        <v>516</v>
      </c>
      <c r="AC130" s="529">
        <v>435</v>
      </c>
      <c r="AD130" s="530">
        <f t="shared" si="112"/>
        <v>0.67984189723320154</v>
      </c>
      <c r="AE130" s="531">
        <f t="shared" si="113"/>
        <v>0.67984189723320154</v>
      </c>
      <c r="AF130" s="506">
        <v>722</v>
      </c>
      <c r="AG130" s="529">
        <v>658</v>
      </c>
      <c r="AH130" s="529">
        <v>658</v>
      </c>
      <c r="AI130" s="529">
        <v>444</v>
      </c>
      <c r="AJ130" s="529">
        <v>365</v>
      </c>
      <c r="AK130" s="530">
        <f t="shared" si="172"/>
        <v>0.67477203647416417</v>
      </c>
      <c r="AL130" s="531">
        <f t="shared" si="173"/>
        <v>0.67477203647416417</v>
      </c>
      <c r="AM130" s="506">
        <v>600</v>
      </c>
      <c r="AN130" s="529">
        <v>541</v>
      </c>
      <c r="AO130" s="529">
        <v>541</v>
      </c>
      <c r="AP130" s="529">
        <v>381</v>
      </c>
      <c r="AQ130" s="529">
        <v>321</v>
      </c>
      <c r="AR130" s="530">
        <f t="shared" si="174"/>
        <v>0.70425138632162665</v>
      </c>
      <c r="AS130" s="531">
        <f t="shared" si="175"/>
        <v>0.70425138632162665</v>
      </c>
      <c r="AT130" s="506">
        <v>593</v>
      </c>
      <c r="AU130" s="529">
        <v>516</v>
      </c>
      <c r="AV130" s="529">
        <v>516</v>
      </c>
      <c r="AW130" s="529">
        <v>359</v>
      </c>
      <c r="AX130" s="529">
        <v>281</v>
      </c>
      <c r="AY130" s="530">
        <f t="shared" si="176"/>
        <v>0.69573643410852715</v>
      </c>
      <c r="AZ130" s="531">
        <f t="shared" si="177"/>
        <v>0.69573643410852715</v>
      </c>
      <c r="BA130" s="506">
        <v>520</v>
      </c>
      <c r="BB130" s="529">
        <v>458</v>
      </c>
      <c r="BC130" s="529">
        <v>458</v>
      </c>
      <c r="BD130" s="529">
        <v>312</v>
      </c>
      <c r="BE130" s="529">
        <v>257</v>
      </c>
      <c r="BF130" s="530">
        <f t="shared" si="178"/>
        <v>0.68122270742358082</v>
      </c>
      <c r="BG130" s="531">
        <f t="shared" si="179"/>
        <v>0.68122270742358082</v>
      </c>
      <c r="BH130" s="506">
        <v>456</v>
      </c>
      <c r="BI130" s="529">
        <v>408</v>
      </c>
      <c r="BJ130" s="529">
        <v>408</v>
      </c>
      <c r="BK130" s="529">
        <v>265</v>
      </c>
      <c r="BL130" s="529">
        <v>202</v>
      </c>
      <c r="BM130" s="530">
        <f t="shared" si="200"/>
        <v>0.64950980392156865</v>
      </c>
      <c r="BN130" s="531">
        <f t="shared" si="201"/>
        <v>0.64950980392156865</v>
      </c>
      <c r="BO130" s="506">
        <v>435</v>
      </c>
      <c r="BP130" s="529">
        <v>388</v>
      </c>
      <c r="BQ130" s="529">
        <v>388</v>
      </c>
      <c r="BR130" s="529">
        <v>291</v>
      </c>
      <c r="BS130" s="529">
        <v>231</v>
      </c>
      <c r="BT130" s="530">
        <f t="shared" si="202"/>
        <v>0.75</v>
      </c>
      <c r="BU130" s="531">
        <f t="shared" si="203"/>
        <v>0.75</v>
      </c>
      <c r="BV130" s="506">
        <v>450</v>
      </c>
      <c r="BW130" s="529">
        <v>402</v>
      </c>
      <c r="BX130" s="529">
        <v>402</v>
      </c>
      <c r="BY130" s="529">
        <v>278</v>
      </c>
      <c r="BZ130" s="529">
        <v>214</v>
      </c>
      <c r="CA130" s="530">
        <f t="shared" si="204"/>
        <v>0.69154228855721389</v>
      </c>
      <c r="CB130" s="531">
        <f t="shared" si="205"/>
        <v>0.69154228855721389</v>
      </c>
      <c r="CC130" s="506">
        <v>416</v>
      </c>
      <c r="CD130" s="529">
        <v>387</v>
      </c>
      <c r="CE130" s="529">
        <v>387</v>
      </c>
      <c r="CF130" s="529">
        <v>247</v>
      </c>
      <c r="CG130" s="529">
        <v>213</v>
      </c>
      <c r="CH130" s="530">
        <f t="shared" si="206"/>
        <v>0.63824289405684753</v>
      </c>
      <c r="CI130" s="531">
        <f t="shared" si="207"/>
        <v>0.63824289405684753</v>
      </c>
      <c r="CJ130" s="506">
        <v>323</v>
      </c>
      <c r="CK130" s="529">
        <v>291</v>
      </c>
      <c r="CL130" s="529">
        <v>291</v>
      </c>
      <c r="CM130" s="529">
        <v>254</v>
      </c>
      <c r="CN130" s="529">
        <v>204</v>
      </c>
      <c r="CO130" s="530">
        <f t="shared" si="208"/>
        <v>0.87285223367697595</v>
      </c>
      <c r="CP130" s="530">
        <f t="shared" si="209"/>
        <v>0.87285223367697595</v>
      </c>
      <c r="CQ130" s="530">
        <v>0.99656357388316152</v>
      </c>
      <c r="CR130" s="531">
        <v>0.99656357388316152</v>
      </c>
      <c r="CS130" s="506">
        <v>360</v>
      </c>
      <c r="CT130" s="529">
        <v>328</v>
      </c>
      <c r="CU130" s="529">
        <v>199</v>
      </c>
      <c r="CV130" s="529">
        <v>187</v>
      </c>
      <c r="CW130" s="529">
        <v>154</v>
      </c>
      <c r="CX130" s="530">
        <f t="shared" si="210"/>
        <v>0.57012195121951215</v>
      </c>
      <c r="CY130" s="530">
        <f t="shared" si="211"/>
        <v>0.93969849246231152</v>
      </c>
      <c r="CZ130" s="530">
        <v>0.60670731707317072</v>
      </c>
      <c r="DA130" s="531">
        <v>1</v>
      </c>
      <c r="DB130" s="506">
        <v>553</v>
      </c>
      <c r="DC130" s="529">
        <v>463</v>
      </c>
      <c r="DD130" s="529">
        <v>364</v>
      </c>
      <c r="DE130" s="529">
        <v>347</v>
      </c>
      <c r="DF130" s="529">
        <v>268</v>
      </c>
      <c r="DG130" s="530">
        <f t="shared" si="212"/>
        <v>0.74946004319654425</v>
      </c>
      <c r="DH130" s="530">
        <f t="shared" si="213"/>
        <v>0.95329670329670335</v>
      </c>
      <c r="DI130" s="530">
        <v>0.77753779697624192</v>
      </c>
      <c r="DJ130" s="531">
        <v>0.98901098901098905</v>
      </c>
      <c r="DK130" s="506">
        <v>562</v>
      </c>
      <c r="DL130" s="529">
        <v>466</v>
      </c>
      <c r="DM130" s="529">
        <v>354</v>
      </c>
      <c r="DN130" s="529">
        <v>330</v>
      </c>
      <c r="DO130" s="529">
        <v>251</v>
      </c>
      <c r="DP130" s="530">
        <f t="shared" si="214"/>
        <v>0.70815450643776823</v>
      </c>
      <c r="DQ130" s="530">
        <f t="shared" si="215"/>
        <v>0.93220338983050843</v>
      </c>
      <c r="DR130" s="530">
        <v>0.72532188841201717</v>
      </c>
      <c r="DS130" s="531">
        <v>0.95480225988700562</v>
      </c>
      <c r="DT130" s="506">
        <v>645</v>
      </c>
      <c r="DU130" s="529">
        <v>531</v>
      </c>
      <c r="DV130" s="529">
        <v>372</v>
      </c>
      <c r="DW130" s="529">
        <v>357</v>
      </c>
      <c r="DX130" s="529">
        <v>280</v>
      </c>
      <c r="DY130" s="530">
        <f t="shared" si="216"/>
        <v>0.67231638418079098</v>
      </c>
      <c r="DZ130" s="530">
        <f t="shared" si="217"/>
        <v>0.95967741935483875</v>
      </c>
      <c r="EA130" s="530">
        <v>0.68738229755178903</v>
      </c>
      <c r="EB130" s="531">
        <v>0.98118279569892475</v>
      </c>
    </row>
    <row r="131" spans="1:132" s="2" customFormat="1" x14ac:dyDescent="0.25">
      <c r="A131" s="503" t="s">
        <v>342</v>
      </c>
      <c r="B131" s="512" t="s">
        <v>356</v>
      </c>
      <c r="C131" s="532" t="s">
        <v>199</v>
      </c>
      <c r="D131" s="528" t="s">
        <v>21</v>
      </c>
      <c r="E131" s="515" t="s">
        <v>21</v>
      </c>
      <c r="F131" s="515" t="s">
        <v>21</v>
      </c>
      <c r="G131" s="515" t="s">
        <v>21</v>
      </c>
      <c r="H131" s="515" t="s">
        <v>21</v>
      </c>
      <c r="I131" s="516" t="s">
        <v>67</v>
      </c>
      <c r="J131" s="517" t="s">
        <v>67</v>
      </c>
      <c r="K131" s="528" t="s">
        <v>67</v>
      </c>
      <c r="L131" s="515" t="s">
        <v>67</v>
      </c>
      <c r="M131" s="515" t="s">
        <v>67</v>
      </c>
      <c r="N131" s="515" t="s">
        <v>67</v>
      </c>
      <c r="O131" s="515" t="s">
        <v>67</v>
      </c>
      <c r="P131" s="516" t="s">
        <v>67</v>
      </c>
      <c r="Q131" s="517" t="s">
        <v>67</v>
      </c>
      <c r="R131" s="528" t="s">
        <v>67</v>
      </c>
      <c r="S131" s="515" t="s">
        <v>67</v>
      </c>
      <c r="T131" s="515" t="s">
        <v>67</v>
      </c>
      <c r="U131" s="515" t="s">
        <v>67</v>
      </c>
      <c r="V131" s="515" t="s">
        <v>67</v>
      </c>
      <c r="W131" s="516" t="s">
        <v>67</v>
      </c>
      <c r="X131" s="517" t="s">
        <v>67</v>
      </c>
      <c r="Y131" s="528" t="s">
        <v>67</v>
      </c>
      <c r="Z131" s="515" t="s">
        <v>67</v>
      </c>
      <c r="AA131" s="515" t="s">
        <v>67</v>
      </c>
      <c r="AB131" s="515" t="s">
        <v>67</v>
      </c>
      <c r="AC131" s="515" t="s">
        <v>67</v>
      </c>
      <c r="AD131" s="516" t="s">
        <v>67</v>
      </c>
      <c r="AE131" s="517" t="s">
        <v>67</v>
      </c>
      <c r="AF131" s="514" t="s">
        <v>67</v>
      </c>
      <c r="AG131" s="515" t="s">
        <v>67</v>
      </c>
      <c r="AH131" s="515" t="s">
        <v>67</v>
      </c>
      <c r="AI131" s="515" t="s">
        <v>67</v>
      </c>
      <c r="AJ131" s="515" t="s">
        <v>67</v>
      </c>
      <c r="AK131" s="516" t="s">
        <v>67</v>
      </c>
      <c r="AL131" s="517" t="s">
        <v>67</v>
      </c>
      <c r="AM131" s="514" t="s">
        <v>67</v>
      </c>
      <c r="AN131" s="515" t="s">
        <v>67</v>
      </c>
      <c r="AO131" s="515" t="s">
        <v>67</v>
      </c>
      <c r="AP131" s="515" t="s">
        <v>67</v>
      </c>
      <c r="AQ131" s="515" t="s">
        <v>67</v>
      </c>
      <c r="AR131" s="516" t="s">
        <v>67</v>
      </c>
      <c r="AS131" s="517" t="s">
        <v>67</v>
      </c>
      <c r="AT131" s="514" t="s">
        <v>67</v>
      </c>
      <c r="AU131" s="515" t="s">
        <v>67</v>
      </c>
      <c r="AV131" s="515" t="s">
        <v>67</v>
      </c>
      <c r="AW131" s="515" t="s">
        <v>67</v>
      </c>
      <c r="AX131" s="515" t="s">
        <v>67</v>
      </c>
      <c r="AY131" s="516" t="s">
        <v>67</v>
      </c>
      <c r="AZ131" s="517" t="s">
        <v>67</v>
      </c>
      <c r="BA131" s="514" t="s">
        <v>67</v>
      </c>
      <c r="BB131" s="515" t="s">
        <v>67</v>
      </c>
      <c r="BC131" s="515" t="s">
        <v>67</v>
      </c>
      <c r="BD131" s="515" t="s">
        <v>67</v>
      </c>
      <c r="BE131" s="515" t="s">
        <v>67</v>
      </c>
      <c r="BF131" s="516" t="s">
        <v>67</v>
      </c>
      <c r="BG131" s="517" t="s">
        <v>67</v>
      </c>
      <c r="BH131" s="514" t="s">
        <v>67</v>
      </c>
      <c r="BI131" s="515" t="s">
        <v>67</v>
      </c>
      <c r="BJ131" s="515" t="s">
        <v>67</v>
      </c>
      <c r="BK131" s="515" t="s">
        <v>67</v>
      </c>
      <c r="BL131" s="515" t="s">
        <v>67</v>
      </c>
      <c r="BM131" s="516" t="s">
        <v>67</v>
      </c>
      <c r="BN131" s="517" t="s">
        <v>67</v>
      </c>
      <c r="BO131" s="514" t="s">
        <v>67</v>
      </c>
      <c r="BP131" s="515" t="s">
        <v>67</v>
      </c>
      <c r="BQ131" s="515" t="s">
        <v>67</v>
      </c>
      <c r="BR131" s="515" t="s">
        <v>67</v>
      </c>
      <c r="BS131" s="515" t="s">
        <v>67</v>
      </c>
      <c r="BT131" s="516" t="s">
        <v>67</v>
      </c>
      <c r="BU131" s="517" t="s">
        <v>67</v>
      </c>
      <c r="BV131" s="514" t="s">
        <v>67</v>
      </c>
      <c r="BW131" s="515"/>
      <c r="BX131" s="515"/>
      <c r="BY131" s="515"/>
      <c r="BZ131" s="515"/>
      <c r="CA131" s="516" t="s">
        <v>67</v>
      </c>
      <c r="CB131" s="517" t="s">
        <v>67</v>
      </c>
      <c r="CC131" s="514" t="s">
        <v>67</v>
      </c>
      <c r="CD131" s="515" t="s">
        <v>67</v>
      </c>
      <c r="CE131" s="515" t="s">
        <v>67</v>
      </c>
      <c r="CF131" s="515" t="s">
        <v>67</v>
      </c>
      <c r="CG131" s="515" t="s">
        <v>67</v>
      </c>
      <c r="CH131" s="516" t="s">
        <v>67</v>
      </c>
      <c r="CI131" s="517" t="s">
        <v>67</v>
      </c>
      <c r="CJ131" s="514" t="s">
        <v>67</v>
      </c>
      <c r="CK131" s="515" t="s">
        <v>67</v>
      </c>
      <c r="CL131" s="515" t="s">
        <v>67</v>
      </c>
      <c r="CM131" s="515" t="s">
        <v>67</v>
      </c>
      <c r="CN131" s="515" t="s">
        <v>67</v>
      </c>
      <c r="CO131" s="516" t="s">
        <v>67</v>
      </c>
      <c r="CP131" s="516" t="s">
        <v>67</v>
      </c>
      <c r="CQ131" s="516" t="s">
        <v>67</v>
      </c>
      <c r="CR131" s="517" t="s">
        <v>67</v>
      </c>
      <c r="CS131" s="514" t="s">
        <v>67</v>
      </c>
      <c r="CT131" s="515" t="s">
        <v>67</v>
      </c>
      <c r="CU131" s="515" t="s">
        <v>67</v>
      </c>
      <c r="CV131" s="515" t="s">
        <v>67</v>
      </c>
      <c r="CW131" s="515" t="s">
        <v>67</v>
      </c>
      <c r="CX131" s="516" t="s">
        <v>67</v>
      </c>
      <c r="CY131" s="516" t="s">
        <v>67</v>
      </c>
      <c r="CZ131" s="516" t="s">
        <v>67</v>
      </c>
      <c r="DA131" s="517" t="s">
        <v>67</v>
      </c>
      <c r="DB131" s="514" t="s">
        <v>67</v>
      </c>
      <c r="DC131" s="515" t="s">
        <v>67</v>
      </c>
      <c r="DD131" s="515" t="s">
        <v>67</v>
      </c>
      <c r="DE131" s="515" t="s">
        <v>67</v>
      </c>
      <c r="DF131" s="515" t="s">
        <v>67</v>
      </c>
      <c r="DG131" s="516" t="s">
        <v>67</v>
      </c>
      <c r="DH131" s="516" t="s">
        <v>67</v>
      </c>
      <c r="DI131" s="516" t="s">
        <v>67</v>
      </c>
      <c r="DJ131" s="517" t="s">
        <v>67</v>
      </c>
      <c r="DK131" s="514" t="s">
        <v>67</v>
      </c>
      <c r="DL131" s="515" t="s">
        <v>67</v>
      </c>
      <c r="DM131" s="515" t="s">
        <v>67</v>
      </c>
      <c r="DN131" s="515" t="s">
        <v>67</v>
      </c>
      <c r="DO131" s="515" t="s">
        <v>67</v>
      </c>
      <c r="DP131" s="516" t="s">
        <v>67</v>
      </c>
      <c r="DQ131" s="516" t="s">
        <v>67</v>
      </c>
      <c r="DR131" s="516" t="s">
        <v>67</v>
      </c>
      <c r="DS131" s="517" t="s">
        <v>67</v>
      </c>
      <c r="DT131" s="514" t="s">
        <v>67</v>
      </c>
      <c r="DU131" s="515" t="s">
        <v>67</v>
      </c>
      <c r="DV131" s="515" t="s">
        <v>67</v>
      </c>
      <c r="DW131" s="515" t="s">
        <v>67</v>
      </c>
      <c r="DX131" s="515" t="s">
        <v>67</v>
      </c>
      <c r="DY131" s="516" t="s">
        <v>67</v>
      </c>
      <c r="DZ131" s="516" t="s">
        <v>67</v>
      </c>
      <c r="EA131" s="516" t="s">
        <v>67</v>
      </c>
      <c r="EB131" s="517" t="s">
        <v>67</v>
      </c>
    </row>
    <row r="132" spans="1:132" s="2" customFormat="1" x14ac:dyDescent="0.25">
      <c r="A132" s="551" t="s">
        <v>357</v>
      </c>
      <c r="B132" s="552" t="s">
        <v>358</v>
      </c>
      <c r="C132" s="553"/>
      <c r="D132" s="535">
        <v>12431</v>
      </c>
      <c r="E132" s="559">
        <v>10473</v>
      </c>
      <c r="F132" s="559">
        <v>8853</v>
      </c>
      <c r="G132" s="559">
        <v>6478</v>
      </c>
      <c r="H132" s="560">
        <v>5227</v>
      </c>
      <c r="I132" s="561">
        <f t="shared" si="108"/>
        <v>0.61854291988923904</v>
      </c>
      <c r="J132" s="562">
        <f t="shared" si="109"/>
        <v>0.73172935728001809</v>
      </c>
      <c r="K132" s="535">
        <v>12625</v>
      </c>
      <c r="L132" s="559">
        <v>10624</v>
      </c>
      <c r="M132" s="559">
        <v>9042</v>
      </c>
      <c r="N132" s="559">
        <v>6700</v>
      </c>
      <c r="O132" s="560">
        <v>5485</v>
      </c>
      <c r="P132" s="561">
        <f t="shared" ref="P132:P140" si="218">N132/L132</f>
        <v>0.6306475903614458</v>
      </c>
      <c r="Q132" s="562">
        <f t="shared" ref="Q132:Q140" si="219">N132/M132</f>
        <v>0.74098650740986505</v>
      </c>
      <c r="R132" s="535">
        <v>13331</v>
      </c>
      <c r="S132" s="559">
        <v>10560</v>
      </c>
      <c r="T132" s="559">
        <v>9035</v>
      </c>
      <c r="U132" s="559">
        <v>6942</v>
      </c>
      <c r="V132" s="560">
        <v>5509</v>
      </c>
      <c r="W132" s="561">
        <f t="shared" si="106"/>
        <v>0.6573863636363636</v>
      </c>
      <c r="X132" s="562">
        <f t="shared" si="107"/>
        <v>0.76834532374100717</v>
      </c>
      <c r="Y132" s="535">
        <v>12733</v>
      </c>
      <c r="Z132" s="559">
        <v>10418</v>
      </c>
      <c r="AA132" s="559">
        <v>8875</v>
      </c>
      <c r="AB132" s="559">
        <v>6531</v>
      </c>
      <c r="AC132" s="560">
        <v>5221</v>
      </c>
      <c r="AD132" s="561">
        <f t="shared" ref="AD132:AD140" si="220">AB132/Z132</f>
        <v>0.62689575734306013</v>
      </c>
      <c r="AE132" s="562">
        <f t="shared" ref="AE132:AE140" si="221">AB132/AA132</f>
        <v>0.73588732394366196</v>
      </c>
      <c r="AF132" s="535">
        <v>12054</v>
      </c>
      <c r="AG132" s="559">
        <v>9765</v>
      </c>
      <c r="AH132" s="559">
        <v>8293</v>
      </c>
      <c r="AI132" s="559">
        <v>6131</v>
      </c>
      <c r="AJ132" s="560">
        <v>4886</v>
      </c>
      <c r="AK132" s="561">
        <f t="shared" ref="AK132:AK140" si="222">AI132/AG132</f>
        <v>0.62785458269329242</v>
      </c>
      <c r="AL132" s="562">
        <f t="shared" ref="AL132:AL140" si="223">AI132/AH132</f>
        <v>0.73929820330399132</v>
      </c>
      <c r="AM132" s="535">
        <v>10159</v>
      </c>
      <c r="AN132" s="559">
        <v>8297</v>
      </c>
      <c r="AO132" s="559">
        <v>7183</v>
      </c>
      <c r="AP132" s="559">
        <v>5546</v>
      </c>
      <c r="AQ132" s="560">
        <v>4437</v>
      </c>
      <c r="AR132" s="561">
        <f t="shared" ref="AR132:AR140" si="224">AP132/AN132</f>
        <v>0.66843437387007354</v>
      </c>
      <c r="AS132" s="562">
        <f t="shared" ref="AS132:AS140" si="225">AP132/AO132</f>
        <v>0.77210079354030348</v>
      </c>
      <c r="AT132" s="535">
        <v>9655</v>
      </c>
      <c r="AU132" s="559">
        <v>7751</v>
      </c>
      <c r="AV132" s="559">
        <v>6630</v>
      </c>
      <c r="AW132" s="559">
        <v>5101</v>
      </c>
      <c r="AX132" s="560">
        <v>4015</v>
      </c>
      <c r="AY132" s="561">
        <f t="shared" ref="AY132:AY140" si="226">AW132/AU132</f>
        <v>0.65810863114436846</v>
      </c>
      <c r="AZ132" s="562">
        <f t="shared" ref="AZ132:AZ140" si="227">AW132/AV132</f>
        <v>0.76938159879336354</v>
      </c>
      <c r="BA132" s="535">
        <v>8927</v>
      </c>
      <c r="BB132" s="559">
        <v>7176</v>
      </c>
      <c r="BC132" s="559">
        <v>6129</v>
      </c>
      <c r="BD132" s="559">
        <v>4882</v>
      </c>
      <c r="BE132" s="560">
        <v>3710</v>
      </c>
      <c r="BF132" s="561">
        <f t="shared" ref="BF132:BF140" si="228">BD132/BB132</f>
        <v>0.68032329988851725</v>
      </c>
      <c r="BG132" s="562">
        <f t="shared" ref="BG132:BG140" si="229">BD132/BC132</f>
        <v>0.79654103442649693</v>
      </c>
      <c r="BH132" s="535">
        <v>8386</v>
      </c>
      <c r="BI132" s="559">
        <v>6766</v>
      </c>
      <c r="BJ132" s="559">
        <v>5967</v>
      </c>
      <c r="BK132" s="559">
        <v>4669</v>
      </c>
      <c r="BL132" s="560">
        <v>3578</v>
      </c>
      <c r="BM132" s="561">
        <f t="shared" ref="BM132:BM140" si="230">BK132/BI132</f>
        <v>0.69006798699379246</v>
      </c>
      <c r="BN132" s="562">
        <f t="shared" ref="BN132:BN140" si="231">BK132/BJ132</f>
        <v>0.78247025305848839</v>
      </c>
      <c r="BO132" s="535">
        <v>8197</v>
      </c>
      <c r="BP132" s="559">
        <v>6611</v>
      </c>
      <c r="BQ132" s="559">
        <v>5983</v>
      </c>
      <c r="BR132" s="559">
        <v>4658</v>
      </c>
      <c r="BS132" s="560">
        <v>3720</v>
      </c>
      <c r="BT132" s="561">
        <f t="shared" ref="BT132:BT140" si="232">BR132/BP132</f>
        <v>0.70458327030706402</v>
      </c>
      <c r="BU132" s="562">
        <f t="shared" ref="BU132:BU140" si="233">BR132/BQ132</f>
        <v>0.77853919438408825</v>
      </c>
      <c r="BV132" s="535">
        <v>8721</v>
      </c>
      <c r="BW132" s="559">
        <v>6817</v>
      </c>
      <c r="BX132" s="559">
        <v>6454</v>
      </c>
      <c r="BY132" s="559">
        <v>4912</v>
      </c>
      <c r="BZ132" s="560">
        <v>4119</v>
      </c>
      <c r="CA132" s="561">
        <f t="shared" ref="CA132:CA140" si="234">BY132/BW132</f>
        <v>0.72055156227079364</v>
      </c>
      <c r="CB132" s="562">
        <f t="shared" ref="CB132:CB140" si="235">BY132/BX132</f>
        <v>0.76107840099163304</v>
      </c>
      <c r="CC132" s="535">
        <v>7702</v>
      </c>
      <c r="CD132" s="559">
        <v>6232</v>
      </c>
      <c r="CE132" s="559">
        <v>6227</v>
      </c>
      <c r="CF132" s="559">
        <v>4438</v>
      </c>
      <c r="CG132" s="560">
        <v>3965</v>
      </c>
      <c r="CH132" s="561">
        <f t="shared" ref="CH132:CH140" si="236">CF132/CD132</f>
        <v>0.71213093709884467</v>
      </c>
      <c r="CI132" s="562">
        <f t="shared" ref="CI132:CI140" si="237">CF132/CE132</f>
        <v>0.71270274610566886</v>
      </c>
      <c r="CJ132" s="535">
        <v>6148</v>
      </c>
      <c r="CK132" s="559">
        <v>5178</v>
      </c>
      <c r="CL132" s="559">
        <v>5120</v>
      </c>
      <c r="CM132" s="559">
        <v>4113</v>
      </c>
      <c r="CN132" s="560">
        <v>3684</v>
      </c>
      <c r="CO132" s="561">
        <f t="shared" ref="CO132:CO140" si="238">CM132/CK132</f>
        <v>0.79432213209733493</v>
      </c>
      <c r="CP132" s="664">
        <f t="shared" ref="CP132:CP140" si="239">CM132/CL132</f>
        <v>0.80332031250000002</v>
      </c>
      <c r="CQ132" s="561">
        <v>0.79432213209733493</v>
      </c>
      <c r="CR132" s="562">
        <v>0.80332031250000002</v>
      </c>
      <c r="CS132" s="535">
        <v>6331</v>
      </c>
      <c r="CT132" s="559">
        <v>5310</v>
      </c>
      <c r="CU132" s="559">
        <v>5213</v>
      </c>
      <c r="CV132" s="559">
        <v>3896</v>
      </c>
      <c r="CW132" s="560">
        <v>3461</v>
      </c>
      <c r="CX132" s="561">
        <f t="shared" ref="CX132:CX140" si="240">CV132/CT132</f>
        <v>0.73370998116760833</v>
      </c>
      <c r="CY132" s="664">
        <f t="shared" ref="CY132:CY140" si="241">CV132/CU132</f>
        <v>0.74736236332246309</v>
      </c>
      <c r="CZ132" s="561">
        <v>0.73370998116760833</v>
      </c>
      <c r="DA132" s="562">
        <v>0.74736236332246309</v>
      </c>
      <c r="DB132" s="535">
        <v>7778</v>
      </c>
      <c r="DC132" s="559">
        <v>6318</v>
      </c>
      <c r="DD132" s="559">
        <v>5858</v>
      </c>
      <c r="DE132" s="559">
        <v>4219</v>
      </c>
      <c r="DF132" s="560">
        <v>3560</v>
      </c>
      <c r="DG132" s="561">
        <f t="shared" ref="DG132:DG140" si="242">DE132/DC132</f>
        <v>0.66777461221905665</v>
      </c>
      <c r="DH132" s="664">
        <f t="shared" ref="DH132:DH140" si="243">DE132/DD132</f>
        <v>0.72021167634004779</v>
      </c>
      <c r="DI132" s="561">
        <v>0.80104463437796769</v>
      </c>
      <c r="DJ132" s="562">
        <v>0.86394673950153633</v>
      </c>
      <c r="DK132" s="535">
        <v>8799</v>
      </c>
      <c r="DL132" s="559">
        <v>6991</v>
      </c>
      <c r="DM132" s="559">
        <v>6463</v>
      </c>
      <c r="DN132" s="559">
        <v>4564</v>
      </c>
      <c r="DO132" s="560">
        <v>4020</v>
      </c>
      <c r="DP132" s="561">
        <f t="shared" ref="DP132:DP140" si="244">DN132/DL132</f>
        <v>0.65283936489772565</v>
      </c>
      <c r="DQ132" s="664">
        <f t="shared" ref="DQ132:DQ140" si="245">DN132/DM132</f>
        <v>0.70617360358966419</v>
      </c>
      <c r="DR132" s="561">
        <v>0.81447575454155341</v>
      </c>
      <c r="DS132" s="562">
        <v>0.88101500850997994</v>
      </c>
      <c r="DT132" s="535">
        <v>9516</v>
      </c>
      <c r="DU132" s="559">
        <v>7487</v>
      </c>
      <c r="DV132" s="559">
        <v>6867</v>
      </c>
      <c r="DW132" s="559">
        <v>5078</v>
      </c>
      <c r="DX132" s="560">
        <v>4187</v>
      </c>
      <c r="DY132" s="561">
        <f t="shared" ref="DY132:DY140" si="246">DW132/DU132</f>
        <v>0.67824228663015895</v>
      </c>
      <c r="DZ132" s="664">
        <f t="shared" ref="DZ132:DZ140" si="247">DW132/DV132</f>
        <v>0.73947866608417068</v>
      </c>
      <c r="EA132" s="561">
        <v>0.80780018699078404</v>
      </c>
      <c r="EB132" s="562">
        <v>0.88073394495412849</v>
      </c>
    </row>
    <row r="133" spans="1:132" s="2" customFormat="1" x14ac:dyDescent="0.25">
      <c r="A133" s="554" t="s">
        <v>357</v>
      </c>
      <c r="B133" s="555" t="s">
        <v>359</v>
      </c>
      <c r="C133" s="556" t="s">
        <v>285</v>
      </c>
      <c r="D133" s="499">
        <v>3106</v>
      </c>
      <c r="E133" s="500">
        <v>2892</v>
      </c>
      <c r="F133" s="500">
        <v>2583</v>
      </c>
      <c r="G133" s="500">
        <v>2208</v>
      </c>
      <c r="H133" s="500">
        <v>1551</v>
      </c>
      <c r="I133" s="501">
        <f t="shared" si="108"/>
        <v>0.76348547717842319</v>
      </c>
      <c r="J133" s="502">
        <f t="shared" si="109"/>
        <v>0.85481997677119625</v>
      </c>
      <c r="K133" s="499">
        <v>3296</v>
      </c>
      <c r="L133" s="500">
        <v>3102</v>
      </c>
      <c r="M133" s="500">
        <v>2742</v>
      </c>
      <c r="N133" s="500">
        <v>2585</v>
      </c>
      <c r="O133" s="500">
        <v>1844</v>
      </c>
      <c r="P133" s="501">
        <f t="shared" si="218"/>
        <v>0.83333333333333337</v>
      </c>
      <c r="Q133" s="502">
        <f t="shared" si="219"/>
        <v>0.94274252370532463</v>
      </c>
      <c r="R133" s="499">
        <v>3666</v>
      </c>
      <c r="S133" s="500">
        <v>3419</v>
      </c>
      <c r="T133" s="500">
        <v>3085</v>
      </c>
      <c r="U133" s="500">
        <v>3008</v>
      </c>
      <c r="V133" s="500">
        <v>1706</v>
      </c>
      <c r="W133" s="501">
        <f t="shared" si="106"/>
        <v>0.87978941210880379</v>
      </c>
      <c r="X133" s="502">
        <f t="shared" si="107"/>
        <v>0.97504051863857377</v>
      </c>
      <c r="Y133" s="499">
        <v>2943</v>
      </c>
      <c r="Z133" s="500">
        <v>2795</v>
      </c>
      <c r="AA133" s="500">
        <v>2447</v>
      </c>
      <c r="AB133" s="500">
        <v>2347</v>
      </c>
      <c r="AC133" s="500">
        <v>1435</v>
      </c>
      <c r="AD133" s="501">
        <f t="shared" si="220"/>
        <v>0.83971377459749552</v>
      </c>
      <c r="AE133" s="502">
        <f t="shared" si="221"/>
        <v>0.95913363302002452</v>
      </c>
      <c r="AF133" s="499">
        <v>2858</v>
      </c>
      <c r="AG133" s="500">
        <v>2606</v>
      </c>
      <c r="AH133" s="500">
        <v>2273</v>
      </c>
      <c r="AI133" s="500">
        <v>2172</v>
      </c>
      <c r="AJ133" s="500">
        <v>1371</v>
      </c>
      <c r="AK133" s="501">
        <f t="shared" si="222"/>
        <v>0.83346124328472759</v>
      </c>
      <c r="AL133" s="502">
        <f t="shared" si="223"/>
        <v>0.95556533216014083</v>
      </c>
      <c r="AM133" s="499">
        <v>2425</v>
      </c>
      <c r="AN133" s="500">
        <v>2220</v>
      </c>
      <c r="AO133" s="500">
        <v>1929</v>
      </c>
      <c r="AP133" s="500">
        <v>1864</v>
      </c>
      <c r="AQ133" s="500">
        <v>1207</v>
      </c>
      <c r="AR133" s="501">
        <f t="shared" si="224"/>
        <v>0.83963963963963961</v>
      </c>
      <c r="AS133" s="502">
        <f t="shared" si="225"/>
        <v>0.96630378434421982</v>
      </c>
      <c r="AT133" s="499">
        <v>2078</v>
      </c>
      <c r="AU133" s="500">
        <v>1881</v>
      </c>
      <c r="AV133" s="500">
        <v>1662</v>
      </c>
      <c r="AW133" s="500">
        <v>1581</v>
      </c>
      <c r="AX133" s="500">
        <v>977</v>
      </c>
      <c r="AY133" s="501">
        <f t="shared" si="226"/>
        <v>0.84051036682615632</v>
      </c>
      <c r="AZ133" s="502">
        <f t="shared" si="227"/>
        <v>0.95126353790613716</v>
      </c>
      <c r="BA133" s="499">
        <v>1661</v>
      </c>
      <c r="BB133" s="500">
        <v>1516</v>
      </c>
      <c r="BC133" s="500">
        <v>1347</v>
      </c>
      <c r="BD133" s="500">
        <v>1288</v>
      </c>
      <c r="BE133" s="500">
        <v>718</v>
      </c>
      <c r="BF133" s="501">
        <f t="shared" si="228"/>
        <v>0.84960422163588389</v>
      </c>
      <c r="BG133" s="502">
        <f t="shared" si="229"/>
        <v>0.95619896065330368</v>
      </c>
      <c r="BH133" s="499">
        <v>1593</v>
      </c>
      <c r="BI133" s="500">
        <v>1460</v>
      </c>
      <c r="BJ133" s="500">
        <v>1325</v>
      </c>
      <c r="BK133" s="500">
        <v>1271</v>
      </c>
      <c r="BL133" s="500">
        <v>731</v>
      </c>
      <c r="BM133" s="501">
        <f t="shared" si="230"/>
        <v>0.8705479452054794</v>
      </c>
      <c r="BN133" s="502">
        <f t="shared" si="231"/>
        <v>0.95924528301886791</v>
      </c>
      <c r="BO133" s="499">
        <v>1483</v>
      </c>
      <c r="BP133" s="500">
        <v>1338</v>
      </c>
      <c r="BQ133" s="500">
        <v>1214</v>
      </c>
      <c r="BR133" s="500">
        <v>1180</v>
      </c>
      <c r="BS133" s="500">
        <v>693</v>
      </c>
      <c r="BT133" s="501">
        <f t="shared" si="232"/>
        <v>0.88191330343796714</v>
      </c>
      <c r="BU133" s="502">
        <f t="shared" si="233"/>
        <v>0.97199341021416807</v>
      </c>
      <c r="BV133" s="499">
        <v>1291</v>
      </c>
      <c r="BW133" s="500">
        <v>1159</v>
      </c>
      <c r="BX133" s="500">
        <v>1053</v>
      </c>
      <c r="BY133" s="500">
        <v>992</v>
      </c>
      <c r="BZ133" s="500">
        <v>682</v>
      </c>
      <c r="CA133" s="501">
        <f t="shared" si="234"/>
        <v>0.85591026747195853</v>
      </c>
      <c r="CB133" s="502">
        <f t="shared" si="235"/>
        <v>0.94207027540360877</v>
      </c>
      <c r="CC133" s="499">
        <v>1307</v>
      </c>
      <c r="CD133" s="500">
        <v>1108</v>
      </c>
      <c r="CE133" s="500">
        <v>1102</v>
      </c>
      <c r="CF133" s="500">
        <v>1050</v>
      </c>
      <c r="CG133" s="500">
        <v>756</v>
      </c>
      <c r="CH133" s="501">
        <f t="shared" si="236"/>
        <v>0.94765342960288812</v>
      </c>
      <c r="CI133" s="502">
        <f t="shared" si="237"/>
        <v>0.95281306715063518</v>
      </c>
      <c r="CJ133" s="499">
        <v>1354</v>
      </c>
      <c r="CK133" s="500">
        <v>1153</v>
      </c>
      <c r="CL133" s="500">
        <v>1150</v>
      </c>
      <c r="CM133" s="500">
        <v>1120</v>
      </c>
      <c r="CN133" s="500">
        <v>739</v>
      </c>
      <c r="CO133" s="501">
        <f t="shared" si="238"/>
        <v>0.97137901127493498</v>
      </c>
      <c r="CP133" s="501">
        <f t="shared" si="239"/>
        <v>0.97391304347826091</v>
      </c>
      <c r="CQ133" s="501">
        <v>0.97137901127493498</v>
      </c>
      <c r="CR133" s="502">
        <v>0.97391304347826091</v>
      </c>
      <c r="CS133" s="499">
        <v>1314</v>
      </c>
      <c r="CT133" s="500">
        <v>1115</v>
      </c>
      <c r="CU133" s="500">
        <v>1012</v>
      </c>
      <c r="CV133" s="500">
        <v>941</v>
      </c>
      <c r="CW133" s="500">
        <v>662</v>
      </c>
      <c r="CX133" s="501">
        <f t="shared" si="240"/>
        <v>0.84394618834080715</v>
      </c>
      <c r="CY133" s="501">
        <f t="shared" si="241"/>
        <v>0.92984189723320154</v>
      </c>
      <c r="CZ133" s="501">
        <v>0.84394618834080715</v>
      </c>
      <c r="DA133" s="502">
        <v>0.92984189723320154</v>
      </c>
      <c r="DB133" s="499">
        <v>1367</v>
      </c>
      <c r="DC133" s="500">
        <v>1162</v>
      </c>
      <c r="DD133" s="500">
        <v>1061</v>
      </c>
      <c r="DE133" s="500">
        <v>1016</v>
      </c>
      <c r="DF133" s="500">
        <v>711</v>
      </c>
      <c r="DG133" s="501">
        <f t="shared" si="242"/>
        <v>0.87435456110154908</v>
      </c>
      <c r="DH133" s="501">
        <f t="shared" si="243"/>
        <v>0.95758718190386427</v>
      </c>
      <c r="DI133" s="501">
        <v>0.87435456110154908</v>
      </c>
      <c r="DJ133" s="502">
        <v>0.95758718190386427</v>
      </c>
      <c r="DK133" s="499">
        <v>1587</v>
      </c>
      <c r="DL133" s="500">
        <v>1363</v>
      </c>
      <c r="DM133" s="500">
        <v>1273</v>
      </c>
      <c r="DN133" s="500">
        <v>1211</v>
      </c>
      <c r="DO133" s="500">
        <v>874</v>
      </c>
      <c r="DP133" s="501">
        <f t="shared" si="244"/>
        <v>0.88848129126925901</v>
      </c>
      <c r="DQ133" s="501">
        <f t="shared" si="245"/>
        <v>0.95129615082482322</v>
      </c>
      <c r="DR133" s="501">
        <v>0.89655172413793105</v>
      </c>
      <c r="DS133" s="502">
        <v>0.95993715632364496</v>
      </c>
      <c r="DT133" s="499">
        <v>1898</v>
      </c>
      <c r="DU133" s="500">
        <v>1602</v>
      </c>
      <c r="DV133" s="500">
        <v>1474</v>
      </c>
      <c r="DW133" s="500">
        <v>1433</v>
      </c>
      <c r="DX133" s="500">
        <v>974</v>
      </c>
      <c r="DY133" s="501">
        <f t="shared" si="246"/>
        <v>0.89450686641697874</v>
      </c>
      <c r="DZ133" s="501">
        <f t="shared" si="247"/>
        <v>0.97218453188602438</v>
      </c>
      <c r="EA133" s="501">
        <v>0.89762796504369535</v>
      </c>
      <c r="EB133" s="502">
        <v>0.97557666214382632</v>
      </c>
    </row>
    <row r="134" spans="1:132" s="2" customFormat="1" x14ac:dyDescent="0.25">
      <c r="A134" s="503" t="s">
        <v>357</v>
      </c>
      <c r="B134" s="504" t="s">
        <v>360</v>
      </c>
      <c r="C134" s="505" t="s">
        <v>361</v>
      </c>
      <c r="D134" s="506">
        <v>2067</v>
      </c>
      <c r="E134" s="507">
        <v>1971</v>
      </c>
      <c r="F134" s="507">
        <v>1514</v>
      </c>
      <c r="G134" s="507">
        <v>1435</v>
      </c>
      <c r="H134" s="507">
        <v>1204</v>
      </c>
      <c r="I134" s="508">
        <f t="shared" si="108"/>
        <v>0.72805682394723492</v>
      </c>
      <c r="J134" s="509">
        <f t="shared" si="109"/>
        <v>0.94782034346103039</v>
      </c>
      <c r="K134" s="506">
        <v>2163</v>
      </c>
      <c r="L134" s="507">
        <v>2041</v>
      </c>
      <c r="M134" s="507">
        <v>1549</v>
      </c>
      <c r="N134" s="507">
        <v>1471</v>
      </c>
      <c r="O134" s="507">
        <v>1230</v>
      </c>
      <c r="P134" s="508">
        <f t="shared" si="218"/>
        <v>0.72072513473787359</v>
      </c>
      <c r="Q134" s="509">
        <f t="shared" si="219"/>
        <v>0.94964493221433177</v>
      </c>
      <c r="R134" s="506">
        <v>2193</v>
      </c>
      <c r="S134" s="507">
        <v>2048</v>
      </c>
      <c r="T134" s="507">
        <v>1608</v>
      </c>
      <c r="U134" s="507">
        <v>1370</v>
      </c>
      <c r="V134" s="507">
        <v>1261</v>
      </c>
      <c r="W134" s="508">
        <f t="shared" si="106"/>
        <v>0.6689453125</v>
      </c>
      <c r="X134" s="509">
        <f t="shared" si="107"/>
        <v>0.85199004975124382</v>
      </c>
      <c r="Y134" s="506">
        <v>2259</v>
      </c>
      <c r="Z134" s="507">
        <v>2121</v>
      </c>
      <c r="AA134" s="507">
        <v>1610</v>
      </c>
      <c r="AB134" s="507">
        <v>1336</v>
      </c>
      <c r="AC134" s="507">
        <v>1198</v>
      </c>
      <c r="AD134" s="508">
        <f t="shared" si="220"/>
        <v>0.62989156058462992</v>
      </c>
      <c r="AE134" s="509">
        <f t="shared" si="221"/>
        <v>0.82981366459627326</v>
      </c>
      <c r="AF134" s="506">
        <v>2268</v>
      </c>
      <c r="AG134" s="507">
        <v>2042</v>
      </c>
      <c r="AH134" s="507">
        <v>1577</v>
      </c>
      <c r="AI134" s="507">
        <v>1286</v>
      </c>
      <c r="AJ134" s="507">
        <v>1152</v>
      </c>
      <c r="AK134" s="508">
        <f t="shared" si="222"/>
        <v>0.62977473065621936</v>
      </c>
      <c r="AL134" s="509">
        <f t="shared" si="223"/>
        <v>0.81547241597970832</v>
      </c>
      <c r="AM134" s="506">
        <v>1894</v>
      </c>
      <c r="AN134" s="507">
        <v>1698</v>
      </c>
      <c r="AO134" s="507">
        <v>1397</v>
      </c>
      <c r="AP134" s="507">
        <v>1171</v>
      </c>
      <c r="AQ134" s="507">
        <v>1032</v>
      </c>
      <c r="AR134" s="508">
        <f t="shared" si="224"/>
        <v>0.68963486454652534</v>
      </c>
      <c r="AS134" s="509">
        <f t="shared" si="225"/>
        <v>0.83822476735862561</v>
      </c>
      <c r="AT134" s="506">
        <v>1866</v>
      </c>
      <c r="AU134" s="507">
        <v>1645</v>
      </c>
      <c r="AV134" s="507">
        <v>1314</v>
      </c>
      <c r="AW134" s="507">
        <v>1085</v>
      </c>
      <c r="AX134" s="507">
        <v>948</v>
      </c>
      <c r="AY134" s="508">
        <f t="shared" si="226"/>
        <v>0.65957446808510634</v>
      </c>
      <c r="AZ134" s="509">
        <f t="shared" si="227"/>
        <v>0.82572298325722981</v>
      </c>
      <c r="BA134" s="506">
        <v>1802</v>
      </c>
      <c r="BB134" s="507">
        <v>1610</v>
      </c>
      <c r="BC134" s="507">
        <v>1332</v>
      </c>
      <c r="BD134" s="507">
        <v>1101</v>
      </c>
      <c r="BE134" s="507">
        <v>955</v>
      </c>
      <c r="BF134" s="508">
        <f t="shared" si="228"/>
        <v>0.6838509316770186</v>
      </c>
      <c r="BG134" s="509">
        <f t="shared" si="229"/>
        <v>0.82657657657657657</v>
      </c>
      <c r="BH134" s="506">
        <v>1586</v>
      </c>
      <c r="BI134" s="507">
        <v>1426</v>
      </c>
      <c r="BJ134" s="507">
        <v>1209</v>
      </c>
      <c r="BK134" s="507">
        <v>964</v>
      </c>
      <c r="BL134" s="507">
        <v>863</v>
      </c>
      <c r="BM134" s="508">
        <f t="shared" si="230"/>
        <v>0.67601683029453019</v>
      </c>
      <c r="BN134" s="509">
        <f t="shared" si="231"/>
        <v>0.79735318444995862</v>
      </c>
      <c r="BO134" s="506">
        <v>1797</v>
      </c>
      <c r="BP134" s="507">
        <v>1585</v>
      </c>
      <c r="BQ134" s="507">
        <v>1369</v>
      </c>
      <c r="BR134" s="507">
        <v>1101</v>
      </c>
      <c r="BS134" s="507">
        <v>995</v>
      </c>
      <c r="BT134" s="508">
        <f t="shared" si="232"/>
        <v>0.69463722397476335</v>
      </c>
      <c r="BU134" s="509">
        <f t="shared" si="233"/>
        <v>0.80423666910153402</v>
      </c>
      <c r="BV134" s="506">
        <v>1716</v>
      </c>
      <c r="BW134" s="507">
        <v>1531</v>
      </c>
      <c r="BX134" s="507">
        <v>1531</v>
      </c>
      <c r="BY134" s="507">
        <v>1013</v>
      </c>
      <c r="BZ134" s="507">
        <v>912</v>
      </c>
      <c r="CA134" s="508">
        <f t="shared" si="234"/>
        <v>0.66165904637491835</v>
      </c>
      <c r="CB134" s="509">
        <f t="shared" si="235"/>
        <v>0.66165904637491835</v>
      </c>
      <c r="CC134" s="506">
        <v>1488</v>
      </c>
      <c r="CD134" s="507">
        <v>1340</v>
      </c>
      <c r="CE134" s="507">
        <v>1340</v>
      </c>
      <c r="CF134" s="507">
        <v>935</v>
      </c>
      <c r="CG134" s="507">
        <v>892</v>
      </c>
      <c r="CH134" s="508">
        <f t="shared" si="236"/>
        <v>0.69776119402985071</v>
      </c>
      <c r="CI134" s="509">
        <f t="shared" si="237"/>
        <v>0.69776119402985071</v>
      </c>
      <c r="CJ134" s="506">
        <v>1178</v>
      </c>
      <c r="CK134" s="507">
        <v>971</v>
      </c>
      <c r="CL134" s="507">
        <v>971</v>
      </c>
      <c r="CM134" s="507">
        <v>942</v>
      </c>
      <c r="CN134" s="507">
        <v>919</v>
      </c>
      <c r="CO134" s="508">
        <f t="shared" si="238"/>
        <v>0.97013388259526256</v>
      </c>
      <c r="CP134" s="508">
        <f t="shared" si="239"/>
        <v>0.97013388259526256</v>
      </c>
      <c r="CQ134" s="508">
        <v>0.97013388259526256</v>
      </c>
      <c r="CR134" s="509">
        <v>0.97013388259526256</v>
      </c>
      <c r="CS134" s="506">
        <v>1141</v>
      </c>
      <c r="CT134" s="507">
        <v>971</v>
      </c>
      <c r="CU134" s="507">
        <v>971</v>
      </c>
      <c r="CV134" s="507">
        <v>747</v>
      </c>
      <c r="CW134" s="507">
        <v>741</v>
      </c>
      <c r="CX134" s="508">
        <f t="shared" si="240"/>
        <v>0.76930998970133879</v>
      </c>
      <c r="CY134" s="508">
        <f t="shared" si="241"/>
        <v>0.76930998970133879</v>
      </c>
      <c r="CZ134" s="508">
        <v>0.76930998970133879</v>
      </c>
      <c r="DA134" s="509">
        <v>0.76930998970133879</v>
      </c>
      <c r="DB134" s="506">
        <v>1363</v>
      </c>
      <c r="DC134" s="507">
        <v>1173</v>
      </c>
      <c r="DD134" s="507">
        <v>1033</v>
      </c>
      <c r="DE134" s="507">
        <v>771</v>
      </c>
      <c r="DF134" s="507">
        <v>756</v>
      </c>
      <c r="DG134" s="508">
        <f t="shared" si="242"/>
        <v>0.65728900255754474</v>
      </c>
      <c r="DH134" s="508">
        <f t="shared" si="243"/>
        <v>0.7463697967086157</v>
      </c>
      <c r="DI134" s="508">
        <v>0.84995737425404949</v>
      </c>
      <c r="DJ134" s="509">
        <v>0.96515004840271057</v>
      </c>
      <c r="DK134" s="506">
        <v>1557</v>
      </c>
      <c r="DL134" s="507">
        <v>1276</v>
      </c>
      <c r="DM134" s="507">
        <v>1141</v>
      </c>
      <c r="DN134" s="507">
        <v>823</v>
      </c>
      <c r="DO134" s="507">
        <v>818</v>
      </c>
      <c r="DP134" s="508">
        <f t="shared" si="244"/>
        <v>0.64498432601880873</v>
      </c>
      <c r="DQ134" s="508">
        <f t="shared" si="245"/>
        <v>0.72129710780017531</v>
      </c>
      <c r="DR134" s="508">
        <v>0.83385579937304077</v>
      </c>
      <c r="DS134" s="509">
        <v>0.93251533742331283</v>
      </c>
      <c r="DT134" s="506">
        <v>1655</v>
      </c>
      <c r="DU134" s="507">
        <v>1366</v>
      </c>
      <c r="DV134" s="507">
        <v>1236</v>
      </c>
      <c r="DW134" s="507">
        <v>969</v>
      </c>
      <c r="DX134" s="507">
        <v>874</v>
      </c>
      <c r="DY134" s="508">
        <f t="shared" si="246"/>
        <v>0.70937042459736455</v>
      </c>
      <c r="DZ134" s="508">
        <f t="shared" si="247"/>
        <v>0.78398058252427183</v>
      </c>
      <c r="EA134" s="508">
        <v>0.84407027818448022</v>
      </c>
      <c r="EB134" s="509">
        <v>0.93284789644012944</v>
      </c>
    </row>
    <row r="135" spans="1:132" s="2" customFormat="1" x14ac:dyDescent="0.25">
      <c r="A135" s="503" t="s">
        <v>357</v>
      </c>
      <c r="B135" s="504" t="s">
        <v>362</v>
      </c>
      <c r="C135" s="505" t="s">
        <v>363</v>
      </c>
      <c r="D135" s="506">
        <v>1497</v>
      </c>
      <c r="E135" s="507">
        <v>1441</v>
      </c>
      <c r="F135" s="507">
        <v>1052</v>
      </c>
      <c r="G135" s="507">
        <v>1013</v>
      </c>
      <c r="H135" s="507">
        <v>868</v>
      </c>
      <c r="I135" s="508">
        <f t="shared" si="108"/>
        <v>0.70298403886190142</v>
      </c>
      <c r="J135" s="509">
        <f t="shared" si="109"/>
        <v>0.96292775665399244</v>
      </c>
      <c r="K135" s="506">
        <v>1606</v>
      </c>
      <c r="L135" s="507">
        <v>1491</v>
      </c>
      <c r="M135" s="507">
        <v>1209</v>
      </c>
      <c r="N135" s="507">
        <v>1064</v>
      </c>
      <c r="O135" s="507">
        <v>930</v>
      </c>
      <c r="P135" s="508">
        <f t="shared" si="218"/>
        <v>0.71361502347417838</v>
      </c>
      <c r="Q135" s="509">
        <f t="shared" si="219"/>
        <v>0.88006617038875101</v>
      </c>
      <c r="R135" s="506">
        <v>1510</v>
      </c>
      <c r="S135" s="507">
        <v>1386</v>
      </c>
      <c r="T135" s="507">
        <v>1049</v>
      </c>
      <c r="U135" s="507">
        <v>900</v>
      </c>
      <c r="V135" s="507">
        <v>826</v>
      </c>
      <c r="W135" s="508">
        <f t="shared" si="106"/>
        <v>0.64935064935064934</v>
      </c>
      <c r="X135" s="509">
        <f t="shared" si="107"/>
        <v>0.85795996186844614</v>
      </c>
      <c r="Y135" s="506">
        <v>1561</v>
      </c>
      <c r="Z135" s="507">
        <v>1409</v>
      </c>
      <c r="AA135" s="507">
        <v>1087</v>
      </c>
      <c r="AB135" s="507">
        <v>919</v>
      </c>
      <c r="AC135" s="507">
        <v>835</v>
      </c>
      <c r="AD135" s="508">
        <f t="shared" si="220"/>
        <v>0.65223562810503899</v>
      </c>
      <c r="AE135" s="509">
        <f t="shared" si="221"/>
        <v>0.84544618215271394</v>
      </c>
      <c r="AF135" s="506">
        <v>1480</v>
      </c>
      <c r="AG135" s="507">
        <v>1320</v>
      </c>
      <c r="AH135" s="507">
        <v>1055</v>
      </c>
      <c r="AI135" s="507">
        <v>896</v>
      </c>
      <c r="AJ135" s="507">
        <v>801</v>
      </c>
      <c r="AK135" s="508">
        <f t="shared" si="222"/>
        <v>0.67878787878787883</v>
      </c>
      <c r="AL135" s="509">
        <f t="shared" si="223"/>
        <v>0.84928909952606635</v>
      </c>
      <c r="AM135" s="506">
        <v>1416</v>
      </c>
      <c r="AN135" s="507">
        <v>1266</v>
      </c>
      <c r="AO135" s="507">
        <v>1020</v>
      </c>
      <c r="AP135" s="507">
        <v>881</v>
      </c>
      <c r="AQ135" s="507">
        <v>777</v>
      </c>
      <c r="AR135" s="508">
        <f t="shared" si="224"/>
        <v>0.69589257503949442</v>
      </c>
      <c r="AS135" s="509">
        <f t="shared" si="225"/>
        <v>0.86372549019607847</v>
      </c>
      <c r="AT135" s="506">
        <v>1411</v>
      </c>
      <c r="AU135" s="507">
        <v>1228</v>
      </c>
      <c r="AV135" s="507">
        <v>981</v>
      </c>
      <c r="AW135" s="507">
        <v>865</v>
      </c>
      <c r="AX135" s="507">
        <v>752</v>
      </c>
      <c r="AY135" s="508">
        <f t="shared" si="226"/>
        <v>0.7043973941368078</v>
      </c>
      <c r="AZ135" s="509">
        <f t="shared" si="227"/>
        <v>0.88175331294597348</v>
      </c>
      <c r="BA135" s="506">
        <v>1307</v>
      </c>
      <c r="BB135" s="507">
        <v>1133</v>
      </c>
      <c r="BC135" s="507">
        <v>905</v>
      </c>
      <c r="BD135" s="507">
        <v>744</v>
      </c>
      <c r="BE135" s="507">
        <v>663</v>
      </c>
      <c r="BF135" s="508">
        <f t="shared" si="228"/>
        <v>0.65666372462488964</v>
      </c>
      <c r="BG135" s="509">
        <f t="shared" si="229"/>
        <v>0.82209944751381214</v>
      </c>
      <c r="BH135" s="506">
        <v>1219</v>
      </c>
      <c r="BI135" s="507">
        <v>1064</v>
      </c>
      <c r="BJ135" s="507">
        <v>861</v>
      </c>
      <c r="BK135" s="507">
        <v>713</v>
      </c>
      <c r="BL135" s="507">
        <v>648</v>
      </c>
      <c r="BM135" s="508">
        <f t="shared" si="230"/>
        <v>0.67011278195488722</v>
      </c>
      <c r="BN135" s="509">
        <f t="shared" si="231"/>
        <v>0.82810685249709637</v>
      </c>
      <c r="BO135" s="506">
        <v>1111</v>
      </c>
      <c r="BP135" s="507">
        <v>984</v>
      </c>
      <c r="BQ135" s="507">
        <v>908</v>
      </c>
      <c r="BR135" s="507">
        <v>667</v>
      </c>
      <c r="BS135" s="507">
        <v>623</v>
      </c>
      <c r="BT135" s="508">
        <f t="shared" si="232"/>
        <v>0.67784552845528456</v>
      </c>
      <c r="BU135" s="509">
        <f t="shared" si="233"/>
        <v>0.73458149779735682</v>
      </c>
      <c r="BV135" s="506">
        <v>1725</v>
      </c>
      <c r="BW135" s="507">
        <v>1482</v>
      </c>
      <c r="BX135" s="507">
        <v>1418</v>
      </c>
      <c r="BY135" s="507">
        <v>1181</v>
      </c>
      <c r="BZ135" s="507">
        <v>1135</v>
      </c>
      <c r="CA135" s="508">
        <f t="shared" si="234"/>
        <v>0.79689608636977061</v>
      </c>
      <c r="CB135" s="509">
        <f t="shared" si="235"/>
        <v>0.83286318758815236</v>
      </c>
      <c r="CC135" s="506">
        <v>1230</v>
      </c>
      <c r="CD135" s="507">
        <v>1014</v>
      </c>
      <c r="CE135" s="507">
        <v>1013</v>
      </c>
      <c r="CF135" s="507">
        <v>723</v>
      </c>
      <c r="CG135" s="507">
        <v>708</v>
      </c>
      <c r="CH135" s="508">
        <f t="shared" si="236"/>
        <v>0.71301775147928992</v>
      </c>
      <c r="CI135" s="509">
        <f t="shared" si="237"/>
        <v>0.7137216189536032</v>
      </c>
      <c r="CJ135" s="506">
        <v>881</v>
      </c>
      <c r="CK135" s="507">
        <v>808</v>
      </c>
      <c r="CL135" s="507">
        <v>754</v>
      </c>
      <c r="CM135" s="507">
        <v>705</v>
      </c>
      <c r="CN135" s="507">
        <v>686</v>
      </c>
      <c r="CO135" s="508">
        <f t="shared" si="238"/>
        <v>0.87252475247524752</v>
      </c>
      <c r="CP135" s="508">
        <f t="shared" si="239"/>
        <v>0.93501326259946949</v>
      </c>
      <c r="CQ135" s="508">
        <v>0.87252475247524752</v>
      </c>
      <c r="CR135" s="509">
        <v>0.93501326259946949</v>
      </c>
      <c r="CS135" s="506">
        <v>865</v>
      </c>
      <c r="CT135" s="507">
        <v>813</v>
      </c>
      <c r="CU135" s="507">
        <v>812</v>
      </c>
      <c r="CV135" s="507">
        <v>734</v>
      </c>
      <c r="CW135" s="507">
        <v>705</v>
      </c>
      <c r="CX135" s="508">
        <f t="shared" si="240"/>
        <v>0.90282902829028289</v>
      </c>
      <c r="CY135" s="508">
        <f t="shared" si="241"/>
        <v>0.90394088669950734</v>
      </c>
      <c r="CZ135" s="508">
        <v>0.90282902829028289</v>
      </c>
      <c r="DA135" s="509">
        <v>0.90394088669950734</v>
      </c>
      <c r="DB135" s="506">
        <v>1235</v>
      </c>
      <c r="DC135" s="507">
        <v>1029</v>
      </c>
      <c r="DD135" s="507">
        <v>982</v>
      </c>
      <c r="DE135" s="507">
        <v>684</v>
      </c>
      <c r="DF135" s="507">
        <v>670</v>
      </c>
      <c r="DG135" s="508">
        <f t="shared" si="242"/>
        <v>0.66472303206997085</v>
      </c>
      <c r="DH135" s="508">
        <f t="shared" si="243"/>
        <v>0.69653767820773926</v>
      </c>
      <c r="DI135" s="508">
        <v>0.94946550048590861</v>
      </c>
      <c r="DJ135" s="509">
        <v>0.99490835030549896</v>
      </c>
      <c r="DK135" s="506">
        <v>1427</v>
      </c>
      <c r="DL135" s="507">
        <v>1173</v>
      </c>
      <c r="DM135" s="507">
        <v>1073</v>
      </c>
      <c r="DN135" s="507">
        <v>774</v>
      </c>
      <c r="DO135" s="507">
        <v>749</v>
      </c>
      <c r="DP135" s="508">
        <f t="shared" si="244"/>
        <v>0.65984654731457804</v>
      </c>
      <c r="DQ135" s="508">
        <f t="shared" si="245"/>
        <v>0.72134203168685929</v>
      </c>
      <c r="DR135" s="508">
        <v>0.90025575447570327</v>
      </c>
      <c r="DS135" s="509">
        <v>0.98415657036346693</v>
      </c>
      <c r="DT135" s="506">
        <v>1556</v>
      </c>
      <c r="DU135" s="507">
        <v>1248</v>
      </c>
      <c r="DV135" s="507">
        <v>1140</v>
      </c>
      <c r="DW135" s="507">
        <v>896</v>
      </c>
      <c r="DX135" s="507">
        <v>796</v>
      </c>
      <c r="DY135" s="508">
        <f t="shared" si="246"/>
        <v>0.71794871794871795</v>
      </c>
      <c r="DZ135" s="508">
        <f t="shared" si="247"/>
        <v>0.78596491228070176</v>
      </c>
      <c r="EA135" s="508">
        <v>0.90224358974358976</v>
      </c>
      <c r="EB135" s="509">
        <v>0.987719298245614</v>
      </c>
    </row>
    <row r="136" spans="1:132" s="2" customFormat="1" x14ac:dyDescent="0.25">
      <c r="A136" s="503" t="s">
        <v>357</v>
      </c>
      <c r="B136" s="504" t="s">
        <v>364</v>
      </c>
      <c r="C136" s="505" t="s">
        <v>291</v>
      </c>
      <c r="D136" s="506">
        <v>1331</v>
      </c>
      <c r="E136" s="507">
        <v>1328</v>
      </c>
      <c r="F136" s="507">
        <v>1029</v>
      </c>
      <c r="G136" s="507">
        <v>636</v>
      </c>
      <c r="H136" s="507">
        <v>548</v>
      </c>
      <c r="I136" s="508">
        <f t="shared" si="108"/>
        <v>0.47891566265060243</v>
      </c>
      <c r="J136" s="509">
        <f t="shared" si="109"/>
        <v>0.61807580174927113</v>
      </c>
      <c r="K136" s="506">
        <v>1217</v>
      </c>
      <c r="L136" s="507">
        <v>1217</v>
      </c>
      <c r="M136" s="507">
        <v>969</v>
      </c>
      <c r="N136" s="507">
        <v>595</v>
      </c>
      <c r="O136" s="507">
        <v>515</v>
      </c>
      <c r="P136" s="508">
        <f t="shared" si="218"/>
        <v>0.48890714872637636</v>
      </c>
      <c r="Q136" s="509">
        <f t="shared" si="219"/>
        <v>0.61403508771929827</v>
      </c>
      <c r="R136" s="506">
        <v>979</v>
      </c>
      <c r="S136" s="507">
        <v>979</v>
      </c>
      <c r="T136" s="507">
        <v>768</v>
      </c>
      <c r="U136" s="507">
        <v>517</v>
      </c>
      <c r="V136" s="507">
        <v>512</v>
      </c>
      <c r="W136" s="508">
        <f t="shared" si="106"/>
        <v>0.5280898876404494</v>
      </c>
      <c r="X136" s="509">
        <f t="shared" si="107"/>
        <v>0.67317708333333337</v>
      </c>
      <c r="Y136" s="506">
        <v>964</v>
      </c>
      <c r="Z136" s="507">
        <v>964</v>
      </c>
      <c r="AA136" s="507">
        <v>710</v>
      </c>
      <c r="AB136" s="507">
        <v>490</v>
      </c>
      <c r="AC136" s="507">
        <v>479</v>
      </c>
      <c r="AD136" s="508">
        <f t="shared" si="220"/>
        <v>0.50829875518672196</v>
      </c>
      <c r="AE136" s="509">
        <f t="shared" si="221"/>
        <v>0.6901408450704225</v>
      </c>
      <c r="AF136" s="506">
        <v>906</v>
      </c>
      <c r="AG136" s="507">
        <v>906</v>
      </c>
      <c r="AH136" s="507">
        <v>719</v>
      </c>
      <c r="AI136" s="507">
        <v>460</v>
      </c>
      <c r="AJ136" s="507">
        <v>449</v>
      </c>
      <c r="AK136" s="508">
        <f t="shared" si="222"/>
        <v>0.50772626931567333</v>
      </c>
      <c r="AL136" s="509">
        <f t="shared" si="223"/>
        <v>0.63977746870653684</v>
      </c>
      <c r="AM136" s="506">
        <v>876</v>
      </c>
      <c r="AN136" s="507">
        <v>876</v>
      </c>
      <c r="AO136" s="507">
        <v>667</v>
      </c>
      <c r="AP136" s="507">
        <v>403</v>
      </c>
      <c r="AQ136" s="507">
        <v>369</v>
      </c>
      <c r="AR136" s="508">
        <f t="shared" si="224"/>
        <v>0.46004566210045661</v>
      </c>
      <c r="AS136" s="509">
        <f t="shared" si="225"/>
        <v>0.60419790104947524</v>
      </c>
      <c r="AT136" s="506">
        <v>865</v>
      </c>
      <c r="AU136" s="507">
        <v>865</v>
      </c>
      <c r="AV136" s="507">
        <v>670</v>
      </c>
      <c r="AW136" s="507">
        <v>370</v>
      </c>
      <c r="AX136" s="507">
        <v>360</v>
      </c>
      <c r="AY136" s="508">
        <f t="shared" si="226"/>
        <v>0.4277456647398844</v>
      </c>
      <c r="AZ136" s="509">
        <f t="shared" si="227"/>
        <v>0.55223880597014929</v>
      </c>
      <c r="BA136" s="506">
        <v>839</v>
      </c>
      <c r="BB136" s="507">
        <v>839</v>
      </c>
      <c r="BC136" s="507">
        <v>687</v>
      </c>
      <c r="BD136" s="507">
        <v>498</v>
      </c>
      <c r="BE136" s="507">
        <v>368</v>
      </c>
      <c r="BF136" s="508">
        <f t="shared" si="228"/>
        <v>0.59356376638855779</v>
      </c>
      <c r="BG136" s="509">
        <f t="shared" si="229"/>
        <v>0.72489082969432317</v>
      </c>
      <c r="BH136" s="506">
        <v>866</v>
      </c>
      <c r="BI136" s="507">
        <v>866</v>
      </c>
      <c r="BJ136" s="507">
        <v>802</v>
      </c>
      <c r="BK136" s="507">
        <v>405</v>
      </c>
      <c r="BL136" s="507">
        <v>405</v>
      </c>
      <c r="BM136" s="508">
        <f t="shared" si="230"/>
        <v>0.4676674364896074</v>
      </c>
      <c r="BN136" s="509">
        <f t="shared" si="231"/>
        <v>0.50498753117206985</v>
      </c>
      <c r="BO136" s="506">
        <v>908</v>
      </c>
      <c r="BP136" s="507">
        <v>908</v>
      </c>
      <c r="BQ136" s="507">
        <v>845</v>
      </c>
      <c r="BR136" s="507">
        <v>424</v>
      </c>
      <c r="BS136" s="507">
        <v>424</v>
      </c>
      <c r="BT136" s="508">
        <f t="shared" si="232"/>
        <v>0.46696035242290751</v>
      </c>
      <c r="BU136" s="509">
        <f t="shared" si="233"/>
        <v>0.50177514792899414</v>
      </c>
      <c r="BV136" s="506">
        <v>1305</v>
      </c>
      <c r="BW136" s="507">
        <v>869</v>
      </c>
      <c r="BX136" s="507">
        <v>800</v>
      </c>
      <c r="BY136" s="507">
        <v>447</v>
      </c>
      <c r="BZ136" s="507">
        <v>447</v>
      </c>
      <c r="CA136" s="508">
        <f t="shared" si="234"/>
        <v>0.51438434982738779</v>
      </c>
      <c r="CB136" s="509">
        <f t="shared" si="235"/>
        <v>0.55874999999999997</v>
      </c>
      <c r="CC136" s="506">
        <v>917</v>
      </c>
      <c r="CD136" s="507">
        <v>916</v>
      </c>
      <c r="CE136" s="507">
        <v>916</v>
      </c>
      <c r="CF136" s="507">
        <v>484</v>
      </c>
      <c r="CG136" s="507">
        <v>484</v>
      </c>
      <c r="CH136" s="508">
        <f t="shared" si="236"/>
        <v>0.52838427947598254</v>
      </c>
      <c r="CI136" s="509">
        <f t="shared" si="237"/>
        <v>0.52838427947598254</v>
      </c>
      <c r="CJ136" s="506">
        <v>672</v>
      </c>
      <c r="CK136" s="507">
        <v>672</v>
      </c>
      <c r="CL136" s="507">
        <v>672</v>
      </c>
      <c r="CM136" s="507">
        <v>500</v>
      </c>
      <c r="CN136" s="507">
        <v>500</v>
      </c>
      <c r="CO136" s="508">
        <f t="shared" si="238"/>
        <v>0.74404761904761907</v>
      </c>
      <c r="CP136" s="508">
        <f t="shared" si="239"/>
        <v>0.74404761904761907</v>
      </c>
      <c r="CQ136" s="508">
        <v>0.74404761904761907</v>
      </c>
      <c r="CR136" s="509">
        <v>0.74404761904761907</v>
      </c>
      <c r="CS136" s="506">
        <v>688</v>
      </c>
      <c r="CT136" s="507">
        <v>687</v>
      </c>
      <c r="CU136" s="507">
        <v>687</v>
      </c>
      <c r="CV136" s="507">
        <v>473</v>
      </c>
      <c r="CW136" s="507">
        <v>473</v>
      </c>
      <c r="CX136" s="508">
        <f t="shared" si="240"/>
        <v>0.68850072780203786</v>
      </c>
      <c r="CY136" s="508">
        <f t="shared" si="241"/>
        <v>0.68850072780203786</v>
      </c>
      <c r="CZ136" s="508">
        <v>0.68850072780203786</v>
      </c>
      <c r="DA136" s="509">
        <v>0.68850072780203786</v>
      </c>
      <c r="DB136" s="506">
        <v>982</v>
      </c>
      <c r="DC136" s="507">
        <v>981</v>
      </c>
      <c r="DD136" s="507">
        <v>918</v>
      </c>
      <c r="DE136" s="507">
        <v>779</v>
      </c>
      <c r="DF136" s="507">
        <v>496</v>
      </c>
      <c r="DG136" s="508">
        <f t="shared" si="242"/>
        <v>0.79408766564729871</v>
      </c>
      <c r="DH136" s="508">
        <f t="shared" si="243"/>
        <v>0.84858387799564272</v>
      </c>
      <c r="DI136" s="508">
        <v>0.79408766564729871</v>
      </c>
      <c r="DJ136" s="509">
        <v>0.84858387799564272</v>
      </c>
      <c r="DK136" s="506">
        <v>876</v>
      </c>
      <c r="DL136" s="507">
        <v>876</v>
      </c>
      <c r="DM136" s="507">
        <v>795</v>
      </c>
      <c r="DN136" s="507">
        <v>502</v>
      </c>
      <c r="DO136" s="507">
        <v>446</v>
      </c>
      <c r="DP136" s="508">
        <f t="shared" si="244"/>
        <v>0.5730593607305936</v>
      </c>
      <c r="DQ136" s="508">
        <f t="shared" si="245"/>
        <v>0.63144654088050312</v>
      </c>
      <c r="DR136" s="508">
        <v>0.78881278538812782</v>
      </c>
      <c r="DS136" s="509">
        <v>0.86918238993710695</v>
      </c>
      <c r="DT136" s="506">
        <v>910</v>
      </c>
      <c r="DU136" s="507">
        <v>910</v>
      </c>
      <c r="DV136" s="507">
        <v>812</v>
      </c>
      <c r="DW136" s="507">
        <v>584</v>
      </c>
      <c r="DX136" s="507">
        <v>481</v>
      </c>
      <c r="DY136" s="508">
        <f t="shared" si="246"/>
        <v>0.64175824175824181</v>
      </c>
      <c r="DZ136" s="508">
        <f t="shared" si="247"/>
        <v>0.71921182266009853</v>
      </c>
      <c r="EA136" s="508">
        <v>0.83736263736263739</v>
      </c>
      <c r="EB136" s="509">
        <v>0.93842364532019706</v>
      </c>
    </row>
    <row r="137" spans="1:132" s="2" customFormat="1" x14ac:dyDescent="0.25">
      <c r="A137" s="503" t="s">
        <v>357</v>
      </c>
      <c r="B137" s="504" t="s">
        <v>365</v>
      </c>
      <c r="C137" s="505" t="s">
        <v>366</v>
      </c>
      <c r="D137" s="506">
        <v>612</v>
      </c>
      <c r="E137" s="507">
        <v>584</v>
      </c>
      <c r="F137" s="507">
        <v>554</v>
      </c>
      <c r="G137" s="507">
        <v>404</v>
      </c>
      <c r="H137" s="507">
        <v>228</v>
      </c>
      <c r="I137" s="508">
        <f t="shared" si="108"/>
        <v>0.69178082191780821</v>
      </c>
      <c r="J137" s="509">
        <f t="shared" si="109"/>
        <v>0.72924187725631773</v>
      </c>
      <c r="K137" s="506">
        <v>518</v>
      </c>
      <c r="L137" s="507">
        <v>500</v>
      </c>
      <c r="M137" s="507">
        <v>476</v>
      </c>
      <c r="N137" s="507">
        <v>360</v>
      </c>
      <c r="O137" s="507">
        <v>213</v>
      </c>
      <c r="P137" s="508">
        <f t="shared" si="218"/>
        <v>0.72</v>
      </c>
      <c r="Q137" s="509">
        <f t="shared" si="219"/>
        <v>0.75630252100840334</v>
      </c>
      <c r="R137" s="506">
        <v>918</v>
      </c>
      <c r="S137" s="507">
        <v>869</v>
      </c>
      <c r="T137" s="507">
        <v>858</v>
      </c>
      <c r="U137" s="507">
        <v>540</v>
      </c>
      <c r="V137" s="507">
        <v>403</v>
      </c>
      <c r="W137" s="508">
        <f t="shared" ref="W137:W202" si="248">U137/S137</f>
        <v>0.62140391254315308</v>
      </c>
      <c r="X137" s="509">
        <f t="shared" ref="X137:X202" si="249">U137/T137</f>
        <v>0.62937062937062938</v>
      </c>
      <c r="Y137" s="506">
        <v>881</v>
      </c>
      <c r="Z137" s="507">
        <v>824</v>
      </c>
      <c r="AA137" s="507">
        <v>815</v>
      </c>
      <c r="AB137" s="507">
        <v>576</v>
      </c>
      <c r="AC137" s="507">
        <v>424</v>
      </c>
      <c r="AD137" s="508">
        <f t="shared" si="220"/>
        <v>0.69902912621359226</v>
      </c>
      <c r="AE137" s="509">
        <f t="shared" si="221"/>
        <v>0.70674846625766874</v>
      </c>
      <c r="AF137" s="506">
        <v>924</v>
      </c>
      <c r="AG137" s="507">
        <v>832</v>
      </c>
      <c r="AH137" s="507">
        <v>804</v>
      </c>
      <c r="AI137" s="507">
        <v>557</v>
      </c>
      <c r="AJ137" s="507">
        <v>406</v>
      </c>
      <c r="AK137" s="508">
        <f t="shared" si="222"/>
        <v>0.66947115384615385</v>
      </c>
      <c r="AL137" s="509">
        <f t="shared" si="223"/>
        <v>0.69278606965174128</v>
      </c>
      <c r="AM137" s="506">
        <v>796</v>
      </c>
      <c r="AN137" s="507">
        <v>726</v>
      </c>
      <c r="AO137" s="507">
        <v>681</v>
      </c>
      <c r="AP137" s="507">
        <v>475</v>
      </c>
      <c r="AQ137" s="507">
        <v>336</v>
      </c>
      <c r="AR137" s="508">
        <f t="shared" si="224"/>
        <v>0.65426997245179064</v>
      </c>
      <c r="AS137" s="509">
        <f t="shared" si="225"/>
        <v>0.69750367107195299</v>
      </c>
      <c r="AT137" s="506">
        <v>628</v>
      </c>
      <c r="AU137" s="507">
        <v>569</v>
      </c>
      <c r="AV137" s="507">
        <v>539</v>
      </c>
      <c r="AW137" s="507">
        <v>339</v>
      </c>
      <c r="AX137" s="507">
        <v>215</v>
      </c>
      <c r="AY137" s="508">
        <f t="shared" si="226"/>
        <v>0.59578207381370829</v>
      </c>
      <c r="AZ137" s="509">
        <f t="shared" si="227"/>
        <v>0.6289424860853432</v>
      </c>
      <c r="BA137" s="506">
        <v>837</v>
      </c>
      <c r="BB137" s="507">
        <v>768</v>
      </c>
      <c r="BC137" s="507">
        <v>721</v>
      </c>
      <c r="BD137" s="507">
        <v>539</v>
      </c>
      <c r="BE137" s="507">
        <v>330</v>
      </c>
      <c r="BF137" s="508">
        <f t="shared" si="228"/>
        <v>0.70182291666666663</v>
      </c>
      <c r="BG137" s="509">
        <f t="shared" si="229"/>
        <v>0.74757281553398058</v>
      </c>
      <c r="BH137" s="506">
        <v>779</v>
      </c>
      <c r="BI137" s="507">
        <v>728</v>
      </c>
      <c r="BJ137" s="507">
        <v>676</v>
      </c>
      <c r="BK137" s="507">
        <v>497</v>
      </c>
      <c r="BL137" s="507">
        <v>277</v>
      </c>
      <c r="BM137" s="508">
        <f t="shared" si="230"/>
        <v>0.68269230769230771</v>
      </c>
      <c r="BN137" s="509">
        <f t="shared" si="231"/>
        <v>0.73520710059171601</v>
      </c>
      <c r="BO137" s="506">
        <v>704</v>
      </c>
      <c r="BP137" s="507">
        <v>639</v>
      </c>
      <c r="BQ137" s="507">
        <v>611</v>
      </c>
      <c r="BR137" s="507">
        <v>443</v>
      </c>
      <c r="BS137" s="507">
        <v>242</v>
      </c>
      <c r="BT137" s="508">
        <f t="shared" si="232"/>
        <v>0.69327073552425666</v>
      </c>
      <c r="BU137" s="509">
        <f t="shared" si="233"/>
        <v>0.72504091653027825</v>
      </c>
      <c r="BV137" s="506">
        <v>686</v>
      </c>
      <c r="BW137" s="507">
        <v>626</v>
      </c>
      <c r="BX137" s="507">
        <v>597</v>
      </c>
      <c r="BY137" s="507">
        <v>444</v>
      </c>
      <c r="BZ137" s="507">
        <v>271</v>
      </c>
      <c r="CA137" s="508">
        <f t="shared" si="234"/>
        <v>0.70926517571884984</v>
      </c>
      <c r="CB137" s="509">
        <f t="shared" si="235"/>
        <v>0.74371859296482412</v>
      </c>
      <c r="CC137" s="506">
        <v>730</v>
      </c>
      <c r="CD137" s="507">
        <v>626</v>
      </c>
      <c r="CE137" s="507">
        <v>626</v>
      </c>
      <c r="CF137" s="507">
        <v>388</v>
      </c>
      <c r="CG137" s="507">
        <v>318</v>
      </c>
      <c r="CH137" s="508">
        <f t="shared" si="236"/>
        <v>0.61980830670926512</v>
      </c>
      <c r="CI137" s="509">
        <f t="shared" si="237"/>
        <v>0.61980830670926512</v>
      </c>
      <c r="CJ137" s="506">
        <v>325</v>
      </c>
      <c r="CK137" s="507">
        <v>256</v>
      </c>
      <c r="CL137" s="507">
        <v>256</v>
      </c>
      <c r="CM137" s="507">
        <v>255</v>
      </c>
      <c r="CN137" s="507">
        <v>203</v>
      </c>
      <c r="CO137" s="508">
        <f t="shared" si="238"/>
        <v>0.99609375</v>
      </c>
      <c r="CP137" s="508">
        <f t="shared" si="239"/>
        <v>0.99609375</v>
      </c>
      <c r="CQ137" s="508">
        <v>0.99609375</v>
      </c>
      <c r="CR137" s="509">
        <v>0.99609375</v>
      </c>
      <c r="CS137" s="506">
        <v>534</v>
      </c>
      <c r="CT137" s="507">
        <v>451</v>
      </c>
      <c r="CU137" s="507">
        <v>450</v>
      </c>
      <c r="CV137" s="507">
        <v>450</v>
      </c>
      <c r="CW137" s="507">
        <v>301</v>
      </c>
      <c r="CX137" s="508">
        <f t="shared" si="240"/>
        <v>0.99778270509977829</v>
      </c>
      <c r="CY137" s="508">
        <f t="shared" si="241"/>
        <v>1</v>
      </c>
      <c r="CZ137" s="508">
        <v>0.99778270509977829</v>
      </c>
      <c r="DA137" s="509">
        <v>1</v>
      </c>
      <c r="DB137" s="506">
        <v>592</v>
      </c>
      <c r="DC137" s="507">
        <v>503</v>
      </c>
      <c r="DD137" s="507">
        <v>503</v>
      </c>
      <c r="DE137" s="507">
        <v>353</v>
      </c>
      <c r="DF137" s="507">
        <v>230</v>
      </c>
      <c r="DG137" s="508">
        <f t="shared" si="242"/>
        <v>0.70178926441351885</v>
      </c>
      <c r="DH137" s="508">
        <f t="shared" si="243"/>
        <v>0.70178926441351885</v>
      </c>
      <c r="DI137" s="508">
        <v>0.99403578528827041</v>
      </c>
      <c r="DJ137" s="509">
        <v>0.99403578528827041</v>
      </c>
      <c r="DK137" s="506">
        <v>700</v>
      </c>
      <c r="DL137" s="507">
        <v>598</v>
      </c>
      <c r="DM137" s="507">
        <v>598</v>
      </c>
      <c r="DN137" s="507">
        <v>421</v>
      </c>
      <c r="DO137" s="507">
        <v>261</v>
      </c>
      <c r="DP137" s="508">
        <f t="shared" si="244"/>
        <v>0.70401337792642138</v>
      </c>
      <c r="DQ137" s="508">
        <f t="shared" si="245"/>
        <v>0.70401337792642138</v>
      </c>
      <c r="DR137" s="508">
        <v>0.99665551839464883</v>
      </c>
      <c r="DS137" s="509">
        <v>0.99665551839464883</v>
      </c>
      <c r="DT137" s="506">
        <v>656</v>
      </c>
      <c r="DU137" s="507">
        <v>554</v>
      </c>
      <c r="DV137" s="507">
        <v>554</v>
      </c>
      <c r="DW137" s="507">
        <v>425</v>
      </c>
      <c r="DX137" s="507">
        <v>259</v>
      </c>
      <c r="DY137" s="508">
        <f t="shared" si="246"/>
        <v>0.76714801444043323</v>
      </c>
      <c r="DZ137" s="508">
        <f t="shared" si="247"/>
        <v>0.76714801444043323</v>
      </c>
      <c r="EA137" s="508">
        <v>0.93321299638989175</v>
      </c>
      <c r="EB137" s="509">
        <v>0.93321299638989175</v>
      </c>
    </row>
    <row r="138" spans="1:132" s="2" customFormat="1" x14ac:dyDescent="0.25">
      <c r="A138" s="503" t="s">
        <v>357</v>
      </c>
      <c r="B138" s="504" t="s">
        <v>367</v>
      </c>
      <c r="C138" s="505" t="s">
        <v>297</v>
      </c>
      <c r="D138" s="506">
        <v>527</v>
      </c>
      <c r="E138" s="507">
        <v>526</v>
      </c>
      <c r="F138" s="507">
        <v>526</v>
      </c>
      <c r="G138" s="507">
        <v>102</v>
      </c>
      <c r="H138" s="507">
        <v>95</v>
      </c>
      <c r="I138" s="508">
        <f t="shared" si="108"/>
        <v>0.19391634980988592</v>
      </c>
      <c r="J138" s="509">
        <f t="shared" si="109"/>
        <v>0.19391634980988592</v>
      </c>
      <c r="K138" s="506">
        <v>543</v>
      </c>
      <c r="L138" s="507">
        <v>543</v>
      </c>
      <c r="M138" s="507">
        <v>543</v>
      </c>
      <c r="N138" s="507">
        <v>100</v>
      </c>
      <c r="O138" s="507">
        <v>92</v>
      </c>
      <c r="P138" s="508">
        <f t="shared" si="218"/>
        <v>0.18416206261510129</v>
      </c>
      <c r="Q138" s="509">
        <f t="shared" si="219"/>
        <v>0.18416206261510129</v>
      </c>
      <c r="R138" s="506">
        <v>493</v>
      </c>
      <c r="S138" s="507">
        <v>493</v>
      </c>
      <c r="T138" s="507">
        <v>493</v>
      </c>
      <c r="U138" s="507">
        <v>89</v>
      </c>
      <c r="V138" s="507">
        <v>79</v>
      </c>
      <c r="W138" s="508">
        <f t="shared" si="248"/>
        <v>0.18052738336713997</v>
      </c>
      <c r="X138" s="509">
        <f t="shared" si="249"/>
        <v>0.18052738336713997</v>
      </c>
      <c r="Y138" s="506">
        <v>488</v>
      </c>
      <c r="Z138" s="507">
        <v>488</v>
      </c>
      <c r="AA138" s="507">
        <v>488</v>
      </c>
      <c r="AB138" s="507">
        <v>96</v>
      </c>
      <c r="AC138" s="507">
        <v>79</v>
      </c>
      <c r="AD138" s="508">
        <f t="shared" si="220"/>
        <v>0.19672131147540983</v>
      </c>
      <c r="AE138" s="509">
        <f t="shared" si="221"/>
        <v>0.19672131147540983</v>
      </c>
      <c r="AF138" s="506">
        <v>418</v>
      </c>
      <c r="AG138" s="507">
        <v>418</v>
      </c>
      <c r="AH138" s="507">
        <v>364</v>
      </c>
      <c r="AI138" s="507">
        <v>98</v>
      </c>
      <c r="AJ138" s="507">
        <v>77</v>
      </c>
      <c r="AK138" s="508">
        <f t="shared" si="222"/>
        <v>0.23444976076555024</v>
      </c>
      <c r="AL138" s="509">
        <f t="shared" si="223"/>
        <v>0.26923076923076922</v>
      </c>
      <c r="AM138" s="506">
        <v>331</v>
      </c>
      <c r="AN138" s="507">
        <v>331</v>
      </c>
      <c r="AO138" s="507">
        <v>331</v>
      </c>
      <c r="AP138" s="507">
        <v>81</v>
      </c>
      <c r="AQ138" s="507">
        <v>58</v>
      </c>
      <c r="AR138" s="508">
        <f t="shared" si="224"/>
        <v>0.24471299093655588</v>
      </c>
      <c r="AS138" s="509">
        <f t="shared" si="225"/>
        <v>0.24471299093655588</v>
      </c>
      <c r="AT138" s="506">
        <v>275</v>
      </c>
      <c r="AU138" s="507">
        <v>275</v>
      </c>
      <c r="AV138" s="507">
        <v>275</v>
      </c>
      <c r="AW138" s="507">
        <v>95</v>
      </c>
      <c r="AX138" s="507">
        <v>74</v>
      </c>
      <c r="AY138" s="508">
        <f t="shared" si="226"/>
        <v>0.34545454545454546</v>
      </c>
      <c r="AZ138" s="509">
        <f t="shared" si="227"/>
        <v>0.34545454545454546</v>
      </c>
      <c r="BA138" s="506">
        <v>241</v>
      </c>
      <c r="BB138" s="507">
        <v>241</v>
      </c>
      <c r="BC138" s="507">
        <v>241</v>
      </c>
      <c r="BD138" s="507">
        <v>98</v>
      </c>
      <c r="BE138" s="507">
        <v>72</v>
      </c>
      <c r="BF138" s="508">
        <f t="shared" si="228"/>
        <v>0.40663900414937759</v>
      </c>
      <c r="BG138" s="509">
        <f t="shared" si="229"/>
        <v>0.40663900414937759</v>
      </c>
      <c r="BH138" s="506">
        <v>257</v>
      </c>
      <c r="BI138" s="507">
        <v>257</v>
      </c>
      <c r="BJ138" s="507">
        <v>257</v>
      </c>
      <c r="BK138" s="507">
        <v>126</v>
      </c>
      <c r="BL138" s="507">
        <v>80</v>
      </c>
      <c r="BM138" s="508">
        <f t="shared" si="230"/>
        <v>0.49027237354085601</v>
      </c>
      <c r="BN138" s="509">
        <f t="shared" si="231"/>
        <v>0.49027237354085601</v>
      </c>
      <c r="BO138" s="506">
        <v>246</v>
      </c>
      <c r="BP138" s="507">
        <v>246</v>
      </c>
      <c r="BQ138" s="507">
        <v>246</v>
      </c>
      <c r="BR138" s="507">
        <v>109</v>
      </c>
      <c r="BS138" s="507">
        <v>49</v>
      </c>
      <c r="BT138" s="508">
        <f t="shared" si="232"/>
        <v>0.44308943089430897</v>
      </c>
      <c r="BU138" s="509">
        <f t="shared" si="233"/>
        <v>0.44308943089430897</v>
      </c>
      <c r="BV138" s="506">
        <v>240</v>
      </c>
      <c r="BW138" s="507">
        <v>240</v>
      </c>
      <c r="BX138" s="507">
        <v>240</v>
      </c>
      <c r="BY138" s="507">
        <v>120</v>
      </c>
      <c r="BZ138" s="507">
        <v>64</v>
      </c>
      <c r="CA138" s="508">
        <f t="shared" si="234"/>
        <v>0.5</v>
      </c>
      <c r="CB138" s="509">
        <f t="shared" si="235"/>
        <v>0.5</v>
      </c>
      <c r="CC138" s="506">
        <v>279</v>
      </c>
      <c r="CD138" s="507">
        <v>279</v>
      </c>
      <c r="CE138" s="507">
        <v>279</v>
      </c>
      <c r="CF138" s="507">
        <v>123</v>
      </c>
      <c r="CG138" s="507">
        <v>72</v>
      </c>
      <c r="CH138" s="508">
        <f t="shared" si="236"/>
        <v>0.44086021505376344</v>
      </c>
      <c r="CI138" s="509">
        <f t="shared" si="237"/>
        <v>0.44086021505376344</v>
      </c>
      <c r="CJ138" s="506">
        <v>293</v>
      </c>
      <c r="CK138" s="507">
        <v>293</v>
      </c>
      <c r="CL138" s="507">
        <v>293</v>
      </c>
      <c r="CM138" s="507">
        <v>140</v>
      </c>
      <c r="CN138" s="507">
        <v>99</v>
      </c>
      <c r="CO138" s="508">
        <f t="shared" si="238"/>
        <v>0.47781569965870307</v>
      </c>
      <c r="CP138" s="508">
        <f t="shared" si="239"/>
        <v>0.47781569965870307</v>
      </c>
      <c r="CQ138" s="508">
        <v>0.47781569965870307</v>
      </c>
      <c r="CR138" s="509">
        <v>0.47781569965870307</v>
      </c>
      <c r="CS138" s="506">
        <v>281</v>
      </c>
      <c r="CT138" s="507">
        <v>281</v>
      </c>
      <c r="CU138" s="507">
        <v>280</v>
      </c>
      <c r="CV138" s="507">
        <v>134</v>
      </c>
      <c r="CW138" s="507">
        <v>91</v>
      </c>
      <c r="CX138" s="508">
        <f t="shared" si="240"/>
        <v>0.47686832740213525</v>
      </c>
      <c r="CY138" s="508">
        <f t="shared" si="241"/>
        <v>0.47857142857142859</v>
      </c>
      <c r="CZ138" s="508">
        <v>0.47686832740213525</v>
      </c>
      <c r="DA138" s="509">
        <v>0.47857142857142859</v>
      </c>
      <c r="DB138" s="506">
        <v>269</v>
      </c>
      <c r="DC138" s="507">
        <v>269</v>
      </c>
      <c r="DD138" s="507">
        <v>245</v>
      </c>
      <c r="DE138" s="507">
        <v>125</v>
      </c>
      <c r="DF138" s="507">
        <v>86</v>
      </c>
      <c r="DG138" s="508">
        <f t="shared" si="242"/>
        <v>0.46468401486988847</v>
      </c>
      <c r="DH138" s="508">
        <f t="shared" si="243"/>
        <v>0.51020408163265307</v>
      </c>
      <c r="DI138" s="508">
        <v>0.46468401486988847</v>
      </c>
      <c r="DJ138" s="509">
        <v>0.51020408163265307</v>
      </c>
      <c r="DK138" s="506">
        <v>329</v>
      </c>
      <c r="DL138" s="507">
        <v>328</v>
      </c>
      <c r="DM138" s="507">
        <v>264</v>
      </c>
      <c r="DN138" s="507">
        <v>121</v>
      </c>
      <c r="DO138" s="507">
        <v>83</v>
      </c>
      <c r="DP138" s="508">
        <f t="shared" si="244"/>
        <v>0.36890243902439024</v>
      </c>
      <c r="DQ138" s="508">
        <f t="shared" si="245"/>
        <v>0.45833333333333331</v>
      </c>
      <c r="DR138" s="508">
        <v>0.36890243902439024</v>
      </c>
      <c r="DS138" s="509">
        <v>0.45833333333333331</v>
      </c>
      <c r="DT138" s="506">
        <v>347</v>
      </c>
      <c r="DU138" s="507">
        <v>347</v>
      </c>
      <c r="DV138" s="507">
        <v>276</v>
      </c>
      <c r="DW138" s="507">
        <v>122</v>
      </c>
      <c r="DX138" s="507">
        <v>94</v>
      </c>
      <c r="DY138" s="508">
        <f t="shared" si="246"/>
        <v>0.35158501440922191</v>
      </c>
      <c r="DZ138" s="508">
        <f t="shared" si="247"/>
        <v>0.4420289855072464</v>
      </c>
      <c r="EA138" s="508">
        <v>0.35158501440922191</v>
      </c>
      <c r="EB138" s="509">
        <v>0.4420289855072464</v>
      </c>
    </row>
    <row r="139" spans="1:132" s="2" customFormat="1" x14ac:dyDescent="0.25">
      <c r="A139" s="503" t="s">
        <v>357</v>
      </c>
      <c r="B139" s="504" t="s">
        <v>368</v>
      </c>
      <c r="C139" s="505" t="s">
        <v>369</v>
      </c>
      <c r="D139" s="506">
        <v>341</v>
      </c>
      <c r="E139" s="507">
        <v>339</v>
      </c>
      <c r="F139" s="507">
        <v>336</v>
      </c>
      <c r="G139" s="507">
        <v>50</v>
      </c>
      <c r="H139" s="507">
        <v>43</v>
      </c>
      <c r="I139" s="508">
        <f t="shared" si="108"/>
        <v>0.14749262536873156</v>
      </c>
      <c r="J139" s="509">
        <f t="shared" si="109"/>
        <v>0.14880952380952381</v>
      </c>
      <c r="K139" s="506">
        <v>323</v>
      </c>
      <c r="L139" s="507">
        <v>322</v>
      </c>
      <c r="M139" s="507">
        <v>317</v>
      </c>
      <c r="N139" s="507">
        <v>41</v>
      </c>
      <c r="O139" s="507">
        <v>41</v>
      </c>
      <c r="P139" s="508">
        <f t="shared" si="218"/>
        <v>0.12732919254658384</v>
      </c>
      <c r="Q139" s="509">
        <f t="shared" si="219"/>
        <v>0.12933753943217666</v>
      </c>
      <c r="R139" s="506">
        <v>372</v>
      </c>
      <c r="S139" s="507">
        <v>367</v>
      </c>
      <c r="T139" s="507">
        <v>357</v>
      </c>
      <c r="U139" s="507">
        <v>42</v>
      </c>
      <c r="V139" s="507">
        <v>41</v>
      </c>
      <c r="W139" s="508">
        <f t="shared" si="248"/>
        <v>0.11444141689373297</v>
      </c>
      <c r="X139" s="509">
        <f t="shared" si="249"/>
        <v>0.11764705882352941</v>
      </c>
      <c r="Y139" s="506">
        <v>295</v>
      </c>
      <c r="Z139" s="507">
        <v>292</v>
      </c>
      <c r="AA139" s="507">
        <v>289</v>
      </c>
      <c r="AB139" s="507">
        <v>44</v>
      </c>
      <c r="AC139" s="507">
        <v>37</v>
      </c>
      <c r="AD139" s="508">
        <f t="shared" si="220"/>
        <v>0.15068493150684931</v>
      </c>
      <c r="AE139" s="509">
        <f t="shared" si="221"/>
        <v>0.15224913494809689</v>
      </c>
      <c r="AF139" s="506">
        <v>293</v>
      </c>
      <c r="AG139" s="507">
        <v>290</v>
      </c>
      <c r="AH139" s="507">
        <v>272</v>
      </c>
      <c r="AI139" s="507">
        <v>44</v>
      </c>
      <c r="AJ139" s="507">
        <v>41</v>
      </c>
      <c r="AK139" s="508">
        <f t="shared" si="222"/>
        <v>0.15172413793103448</v>
      </c>
      <c r="AL139" s="509">
        <f t="shared" si="223"/>
        <v>0.16176470588235295</v>
      </c>
      <c r="AM139" s="506">
        <v>239</v>
      </c>
      <c r="AN139" s="507">
        <v>238</v>
      </c>
      <c r="AO139" s="507">
        <v>235</v>
      </c>
      <c r="AP139" s="507">
        <v>35</v>
      </c>
      <c r="AQ139" s="507">
        <v>34</v>
      </c>
      <c r="AR139" s="508">
        <f t="shared" si="224"/>
        <v>0.14705882352941177</v>
      </c>
      <c r="AS139" s="509">
        <f t="shared" si="225"/>
        <v>0.14893617021276595</v>
      </c>
      <c r="AT139" s="506">
        <v>260</v>
      </c>
      <c r="AU139" s="507">
        <v>260</v>
      </c>
      <c r="AV139" s="507">
        <v>256</v>
      </c>
      <c r="AW139" s="507">
        <v>51</v>
      </c>
      <c r="AX139" s="507">
        <v>47</v>
      </c>
      <c r="AY139" s="508">
        <f t="shared" si="226"/>
        <v>0.19615384615384615</v>
      </c>
      <c r="AZ139" s="509">
        <f t="shared" si="227"/>
        <v>0.19921875</v>
      </c>
      <c r="BA139" s="506">
        <v>244</v>
      </c>
      <c r="BB139" s="507">
        <v>242</v>
      </c>
      <c r="BC139" s="507">
        <v>239</v>
      </c>
      <c r="BD139" s="507">
        <v>49</v>
      </c>
      <c r="BE139" s="507">
        <v>43</v>
      </c>
      <c r="BF139" s="508">
        <f t="shared" si="228"/>
        <v>0.2024793388429752</v>
      </c>
      <c r="BG139" s="509">
        <f t="shared" si="229"/>
        <v>0.20502092050209206</v>
      </c>
      <c r="BH139" s="506">
        <v>226</v>
      </c>
      <c r="BI139" s="507">
        <v>223</v>
      </c>
      <c r="BJ139" s="507">
        <v>222</v>
      </c>
      <c r="BK139" s="507">
        <v>52</v>
      </c>
      <c r="BL139" s="507">
        <v>46</v>
      </c>
      <c r="BM139" s="508">
        <f t="shared" si="230"/>
        <v>0.23318385650224216</v>
      </c>
      <c r="BN139" s="509">
        <f t="shared" si="231"/>
        <v>0.23423423423423423</v>
      </c>
      <c r="BO139" s="506">
        <v>285</v>
      </c>
      <c r="BP139" s="507">
        <v>284</v>
      </c>
      <c r="BQ139" s="507">
        <v>276</v>
      </c>
      <c r="BR139" s="507">
        <v>58</v>
      </c>
      <c r="BS139" s="507">
        <v>52</v>
      </c>
      <c r="BT139" s="508">
        <f t="shared" si="232"/>
        <v>0.20422535211267606</v>
      </c>
      <c r="BU139" s="509">
        <f t="shared" si="233"/>
        <v>0.21014492753623187</v>
      </c>
      <c r="BV139" s="506">
        <v>266</v>
      </c>
      <c r="BW139" s="507">
        <v>264</v>
      </c>
      <c r="BX139" s="507">
        <v>254</v>
      </c>
      <c r="BY139" s="507">
        <v>57</v>
      </c>
      <c r="BZ139" s="507">
        <v>52</v>
      </c>
      <c r="CA139" s="508">
        <f t="shared" si="234"/>
        <v>0.21590909090909091</v>
      </c>
      <c r="CB139" s="509">
        <f t="shared" si="235"/>
        <v>0.22440944881889763</v>
      </c>
      <c r="CC139" s="506">
        <v>322</v>
      </c>
      <c r="CD139" s="507">
        <v>319</v>
      </c>
      <c r="CE139" s="507">
        <v>317</v>
      </c>
      <c r="CF139" s="507">
        <v>62</v>
      </c>
      <c r="CG139" s="507">
        <v>52</v>
      </c>
      <c r="CH139" s="508">
        <f t="shared" si="236"/>
        <v>0.19435736677115986</v>
      </c>
      <c r="CI139" s="509">
        <f t="shared" si="237"/>
        <v>0.19558359621451105</v>
      </c>
      <c r="CJ139" s="506">
        <v>432</v>
      </c>
      <c r="CK139" s="507">
        <v>427</v>
      </c>
      <c r="CL139" s="507">
        <v>400</v>
      </c>
      <c r="CM139" s="507">
        <v>51</v>
      </c>
      <c r="CN139" s="507">
        <v>48</v>
      </c>
      <c r="CO139" s="508">
        <f t="shared" si="238"/>
        <v>0.11943793911007025</v>
      </c>
      <c r="CP139" s="508">
        <f t="shared" si="239"/>
        <v>0.1275</v>
      </c>
      <c r="CQ139" s="508">
        <v>0.11943793911007025</v>
      </c>
      <c r="CR139" s="509">
        <v>0.1275</v>
      </c>
      <c r="CS139" s="506">
        <v>409</v>
      </c>
      <c r="CT139" s="507">
        <v>401</v>
      </c>
      <c r="CU139" s="507">
        <v>396</v>
      </c>
      <c r="CV139" s="507">
        <v>55</v>
      </c>
      <c r="CW139" s="507">
        <v>50</v>
      </c>
      <c r="CX139" s="508">
        <f t="shared" si="240"/>
        <v>0.13715710723192021</v>
      </c>
      <c r="CY139" s="508">
        <f t="shared" si="241"/>
        <v>0.1388888888888889</v>
      </c>
      <c r="CZ139" s="508">
        <v>0.13715710723192021</v>
      </c>
      <c r="DA139" s="509">
        <v>0.1388888888888889</v>
      </c>
      <c r="DB139" s="506">
        <v>470</v>
      </c>
      <c r="DC139" s="507">
        <v>464</v>
      </c>
      <c r="DD139" s="507">
        <v>454</v>
      </c>
      <c r="DE139" s="507">
        <v>58</v>
      </c>
      <c r="DF139" s="507">
        <v>51</v>
      </c>
      <c r="DG139" s="508">
        <f t="shared" si="242"/>
        <v>0.125</v>
      </c>
      <c r="DH139" s="508">
        <f t="shared" si="243"/>
        <v>0.1277533039647577</v>
      </c>
      <c r="DI139" s="508">
        <v>0.125</v>
      </c>
      <c r="DJ139" s="509">
        <v>0.1277533039647577</v>
      </c>
      <c r="DK139" s="506">
        <v>433</v>
      </c>
      <c r="DL139" s="507">
        <v>424</v>
      </c>
      <c r="DM139" s="507">
        <v>424</v>
      </c>
      <c r="DN139" s="507">
        <v>55</v>
      </c>
      <c r="DO139" s="507">
        <v>51</v>
      </c>
      <c r="DP139" s="508">
        <f t="shared" si="244"/>
        <v>0.12971698113207547</v>
      </c>
      <c r="DQ139" s="508">
        <f t="shared" si="245"/>
        <v>0.12971698113207547</v>
      </c>
      <c r="DR139" s="508">
        <v>0.12971698113207547</v>
      </c>
      <c r="DS139" s="509">
        <v>0.12971698113207547</v>
      </c>
      <c r="DT139" s="506">
        <v>459</v>
      </c>
      <c r="DU139" s="507">
        <v>449</v>
      </c>
      <c r="DV139" s="507">
        <v>432</v>
      </c>
      <c r="DW139" s="507">
        <v>58</v>
      </c>
      <c r="DX139" s="507">
        <v>47</v>
      </c>
      <c r="DY139" s="508">
        <f t="shared" si="246"/>
        <v>0.1291759465478842</v>
      </c>
      <c r="DZ139" s="508">
        <f t="shared" si="247"/>
        <v>0.13425925925925927</v>
      </c>
      <c r="EA139" s="508">
        <v>0.1291759465478842</v>
      </c>
      <c r="EB139" s="509">
        <v>0.13425925925925927</v>
      </c>
    </row>
    <row r="140" spans="1:132" s="2" customFormat="1" x14ac:dyDescent="0.25">
      <c r="A140" s="503" t="s">
        <v>357</v>
      </c>
      <c r="B140" s="504" t="s">
        <v>370</v>
      </c>
      <c r="C140" s="505" t="s">
        <v>371</v>
      </c>
      <c r="D140" s="506">
        <v>2950</v>
      </c>
      <c r="E140" s="507">
        <v>2633</v>
      </c>
      <c r="F140" s="507">
        <v>2134</v>
      </c>
      <c r="G140" s="507">
        <v>990</v>
      </c>
      <c r="H140" s="507">
        <v>726</v>
      </c>
      <c r="I140" s="508">
        <f t="shared" ref="I140:I205" si="250">G140/E140</f>
        <v>0.375996961640714</v>
      </c>
      <c r="J140" s="509">
        <f t="shared" ref="J140:J205" si="251">G140/F140</f>
        <v>0.46391752577319589</v>
      </c>
      <c r="K140" s="506">
        <v>2959</v>
      </c>
      <c r="L140" s="507">
        <v>2623</v>
      </c>
      <c r="M140" s="507">
        <v>2099</v>
      </c>
      <c r="N140" s="507">
        <v>820</v>
      </c>
      <c r="O140" s="507">
        <v>669</v>
      </c>
      <c r="P140" s="508">
        <f t="shared" si="218"/>
        <v>0.31261913839115518</v>
      </c>
      <c r="Q140" s="509">
        <f t="shared" si="219"/>
        <v>0.39066222010481183</v>
      </c>
      <c r="R140" s="506">
        <v>3200</v>
      </c>
      <c r="S140" s="507">
        <v>2636</v>
      </c>
      <c r="T140" s="507">
        <v>2144</v>
      </c>
      <c r="U140" s="507">
        <v>932</v>
      </c>
      <c r="V140" s="507">
        <v>731</v>
      </c>
      <c r="W140" s="508">
        <f t="shared" si="248"/>
        <v>0.35356600910470409</v>
      </c>
      <c r="X140" s="509">
        <f t="shared" si="249"/>
        <v>0.43470149253731344</v>
      </c>
      <c r="Y140" s="506">
        <v>3342</v>
      </c>
      <c r="Z140" s="507">
        <v>2727</v>
      </c>
      <c r="AA140" s="507">
        <v>2282</v>
      </c>
      <c r="AB140" s="507">
        <v>1005</v>
      </c>
      <c r="AC140" s="507">
        <v>767</v>
      </c>
      <c r="AD140" s="508">
        <f t="shared" si="220"/>
        <v>0.36853685368536854</v>
      </c>
      <c r="AE140" s="509">
        <f t="shared" si="221"/>
        <v>0.4404031551270815</v>
      </c>
      <c r="AF140" s="506">
        <v>2907</v>
      </c>
      <c r="AG140" s="507">
        <v>2395</v>
      </c>
      <c r="AH140" s="507">
        <v>1950</v>
      </c>
      <c r="AI140" s="507">
        <v>880</v>
      </c>
      <c r="AJ140" s="507">
        <v>621</v>
      </c>
      <c r="AK140" s="508">
        <f t="shared" si="222"/>
        <v>0.36743215031315241</v>
      </c>
      <c r="AL140" s="509">
        <f t="shared" si="223"/>
        <v>0.45128205128205129</v>
      </c>
      <c r="AM140" s="506">
        <v>2182</v>
      </c>
      <c r="AN140" s="507">
        <v>1825</v>
      </c>
      <c r="AO140" s="507">
        <v>1532</v>
      </c>
      <c r="AP140" s="507">
        <v>881</v>
      </c>
      <c r="AQ140" s="507">
        <v>640</v>
      </c>
      <c r="AR140" s="508">
        <f t="shared" si="224"/>
        <v>0.48273972602739729</v>
      </c>
      <c r="AS140" s="509">
        <f t="shared" si="225"/>
        <v>0.57506527415143605</v>
      </c>
      <c r="AT140" s="506">
        <v>2272</v>
      </c>
      <c r="AU140" s="507">
        <v>1905</v>
      </c>
      <c r="AV140" s="507">
        <v>1554</v>
      </c>
      <c r="AW140" s="507">
        <v>959</v>
      </c>
      <c r="AX140" s="507">
        <v>666</v>
      </c>
      <c r="AY140" s="508">
        <f t="shared" si="226"/>
        <v>0.50341207349081363</v>
      </c>
      <c r="AZ140" s="509">
        <f t="shared" si="227"/>
        <v>0.61711711711711714</v>
      </c>
      <c r="BA140" s="506">
        <v>1996</v>
      </c>
      <c r="BB140" s="507">
        <v>1705</v>
      </c>
      <c r="BC140" s="507">
        <v>1315</v>
      </c>
      <c r="BD140" s="507">
        <v>831</v>
      </c>
      <c r="BE140" s="507">
        <v>581</v>
      </c>
      <c r="BF140" s="508">
        <f t="shared" si="228"/>
        <v>0.48739002932551317</v>
      </c>
      <c r="BG140" s="509">
        <f t="shared" si="229"/>
        <v>0.63193916349809887</v>
      </c>
      <c r="BH140" s="506">
        <v>1860</v>
      </c>
      <c r="BI140" s="507">
        <v>1593</v>
      </c>
      <c r="BJ140" s="507">
        <v>1294</v>
      </c>
      <c r="BK140" s="507">
        <v>809</v>
      </c>
      <c r="BL140" s="507">
        <v>560</v>
      </c>
      <c r="BM140" s="508">
        <f t="shared" si="230"/>
        <v>0.50784682988072816</v>
      </c>
      <c r="BN140" s="509">
        <f t="shared" si="231"/>
        <v>0.62519319938176199</v>
      </c>
      <c r="BO140" s="506">
        <v>1663</v>
      </c>
      <c r="BP140" s="507">
        <v>1405</v>
      </c>
      <c r="BQ140" s="507">
        <v>1141</v>
      </c>
      <c r="BR140" s="507">
        <v>877</v>
      </c>
      <c r="BS140" s="507">
        <v>663</v>
      </c>
      <c r="BT140" s="508">
        <f t="shared" si="232"/>
        <v>0.62419928825622772</v>
      </c>
      <c r="BU140" s="509">
        <f t="shared" si="233"/>
        <v>0.76862401402278702</v>
      </c>
      <c r="BV140" s="506">
        <v>1436</v>
      </c>
      <c r="BW140" s="507">
        <v>1267</v>
      </c>
      <c r="BX140" s="507">
        <v>1078</v>
      </c>
      <c r="BY140" s="507">
        <v>798</v>
      </c>
      <c r="BZ140" s="507">
        <v>556</v>
      </c>
      <c r="CA140" s="508">
        <f t="shared" si="234"/>
        <v>0.62983425414364635</v>
      </c>
      <c r="CB140" s="509">
        <f t="shared" si="235"/>
        <v>0.74025974025974028</v>
      </c>
      <c r="CC140" s="506">
        <v>1381</v>
      </c>
      <c r="CD140" s="507">
        <v>1205</v>
      </c>
      <c r="CE140" s="507">
        <v>1205</v>
      </c>
      <c r="CF140" s="507">
        <v>747</v>
      </c>
      <c r="CG140" s="507">
        <v>674</v>
      </c>
      <c r="CH140" s="508">
        <f t="shared" si="236"/>
        <v>0.6199170124481328</v>
      </c>
      <c r="CI140" s="509">
        <f t="shared" si="237"/>
        <v>0.6199170124481328</v>
      </c>
      <c r="CJ140" s="506">
        <v>975</v>
      </c>
      <c r="CK140" s="507">
        <v>924</v>
      </c>
      <c r="CL140" s="507">
        <v>924</v>
      </c>
      <c r="CM140" s="507">
        <v>485</v>
      </c>
      <c r="CN140" s="507">
        <v>485</v>
      </c>
      <c r="CO140" s="508">
        <f t="shared" si="238"/>
        <v>0.52489177489177485</v>
      </c>
      <c r="CP140" s="508">
        <f t="shared" si="239"/>
        <v>0.52489177489177485</v>
      </c>
      <c r="CQ140" s="508">
        <v>0.52489177489177485</v>
      </c>
      <c r="CR140" s="509">
        <v>0.52489177489177485</v>
      </c>
      <c r="CS140" s="506">
        <v>1046</v>
      </c>
      <c r="CT140" s="507">
        <v>981</v>
      </c>
      <c r="CU140" s="507">
        <v>981</v>
      </c>
      <c r="CV140" s="507">
        <v>447</v>
      </c>
      <c r="CW140" s="507">
        <v>447</v>
      </c>
      <c r="CX140" s="508">
        <f t="shared" si="240"/>
        <v>0.45565749235474007</v>
      </c>
      <c r="CY140" s="508">
        <f t="shared" si="241"/>
        <v>0.45565749235474007</v>
      </c>
      <c r="CZ140" s="508">
        <v>0.45565749235474007</v>
      </c>
      <c r="DA140" s="509">
        <v>0.45565749235474007</v>
      </c>
      <c r="DB140" s="506">
        <v>1466</v>
      </c>
      <c r="DC140" s="507">
        <v>1346</v>
      </c>
      <c r="DD140" s="507">
        <v>1153</v>
      </c>
      <c r="DE140" s="507">
        <v>573</v>
      </c>
      <c r="DF140" s="507">
        <v>573</v>
      </c>
      <c r="DG140" s="508">
        <f t="shared" si="242"/>
        <v>0.42570579494799404</v>
      </c>
      <c r="DH140" s="508">
        <f t="shared" si="243"/>
        <v>0.49696444058976585</v>
      </c>
      <c r="DI140" s="508">
        <v>0.69985141158989594</v>
      </c>
      <c r="DJ140" s="509">
        <v>0.81699913269731139</v>
      </c>
      <c r="DK140" s="506">
        <v>1835</v>
      </c>
      <c r="DL140" s="507">
        <v>1652</v>
      </c>
      <c r="DM140" s="507">
        <v>1448</v>
      </c>
      <c r="DN140" s="507">
        <v>736</v>
      </c>
      <c r="DO140" s="507">
        <v>736</v>
      </c>
      <c r="DP140" s="508">
        <f t="shared" si="244"/>
        <v>0.44552058111380144</v>
      </c>
      <c r="DQ140" s="508">
        <f t="shared" si="245"/>
        <v>0.50828729281767959</v>
      </c>
      <c r="DR140" s="508">
        <v>0.74515738498789341</v>
      </c>
      <c r="DS140" s="509">
        <v>0.85013812154696133</v>
      </c>
      <c r="DT140" s="506">
        <v>1963</v>
      </c>
      <c r="DU140" s="507">
        <v>1745</v>
      </c>
      <c r="DV140" s="507">
        <v>1509</v>
      </c>
      <c r="DW140" s="507">
        <v>812</v>
      </c>
      <c r="DX140" s="507">
        <v>672</v>
      </c>
      <c r="DY140" s="508">
        <f t="shared" si="246"/>
        <v>0.46532951289398283</v>
      </c>
      <c r="DZ140" s="508">
        <f t="shared" si="247"/>
        <v>0.53810470510271702</v>
      </c>
      <c r="EA140" s="508">
        <v>0.71977077363896846</v>
      </c>
      <c r="EB140" s="509">
        <v>0.83233929754804503</v>
      </c>
    </row>
    <row r="141" spans="1:132" s="2" customFormat="1" x14ac:dyDescent="0.25">
      <c r="A141" s="503" t="s">
        <v>357</v>
      </c>
      <c r="B141" s="504" t="s">
        <v>372</v>
      </c>
      <c r="C141" s="510" t="s">
        <v>373</v>
      </c>
      <c r="D141" s="506" t="s">
        <v>21</v>
      </c>
      <c r="E141" s="507" t="s">
        <v>21</v>
      </c>
      <c r="F141" s="507" t="s">
        <v>21</v>
      </c>
      <c r="G141" s="507" t="s">
        <v>21</v>
      </c>
      <c r="H141" s="507" t="s">
        <v>21</v>
      </c>
      <c r="I141" s="508" t="s">
        <v>67</v>
      </c>
      <c r="J141" s="509" t="s">
        <v>67</v>
      </c>
      <c r="K141" s="506" t="s">
        <v>67</v>
      </c>
      <c r="L141" s="507" t="s">
        <v>67</v>
      </c>
      <c r="M141" s="507" t="s">
        <v>67</v>
      </c>
      <c r="N141" s="507" t="s">
        <v>67</v>
      </c>
      <c r="O141" s="507" t="s">
        <v>67</v>
      </c>
      <c r="P141" s="508" t="s">
        <v>67</v>
      </c>
      <c r="Q141" s="509" t="s">
        <v>67</v>
      </c>
      <c r="R141" s="506" t="s">
        <v>67</v>
      </c>
      <c r="S141" s="507" t="s">
        <v>67</v>
      </c>
      <c r="T141" s="507" t="s">
        <v>67</v>
      </c>
      <c r="U141" s="507" t="s">
        <v>67</v>
      </c>
      <c r="V141" s="507" t="s">
        <v>67</v>
      </c>
      <c r="W141" s="508" t="s">
        <v>67</v>
      </c>
      <c r="X141" s="509" t="s">
        <v>67</v>
      </c>
      <c r="Y141" s="506" t="s">
        <v>67</v>
      </c>
      <c r="Z141" s="507" t="s">
        <v>67</v>
      </c>
      <c r="AA141" s="507" t="s">
        <v>67</v>
      </c>
      <c r="AB141" s="507" t="s">
        <v>67</v>
      </c>
      <c r="AC141" s="507" t="s">
        <v>67</v>
      </c>
      <c r="AD141" s="508" t="s">
        <v>67</v>
      </c>
      <c r="AE141" s="509" t="s">
        <v>67</v>
      </c>
      <c r="AF141" s="506" t="s">
        <v>67</v>
      </c>
      <c r="AG141" s="507" t="s">
        <v>67</v>
      </c>
      <c r="AH141" s="507" t="s">
        <v>67</v>
      </c>
      <c r="AI141" s="507" t="s">
        <v>67</v>
      </c>
      <c r="AJ141" s="507" t="s">
        <v>67</v>
      </c>
      <c r="AK141" s="508" t="s">
        <v>67</v>
      </c>
      <c r="AL141" s="509" t="s">
        <v>67</v>
      </c>
      <c r="AM141" s="506" t="s">
        <v>67</v>
      </c>
      <c r="AN141" s="507" t="s">
        <v>67</v>
      </c>
      <c r="AO141" s="507" t="s">
        <v>67</v>
      </c>
      <c r="AP141" s="507" t="s">
        <v>67</v>
      </c>
      <c r="AQ141" s="507" t="s">
        <v>67</v>
      </c>
      <c r="AR141" s="508" t="s">
        <v>67</v>
      </c>
      <c r="AS141" s="509" t="s">
        <v>67</v>
      </c>
      <c r="AT141" s="506" t="s">
        <v>67</v>
      </c>
      <c r="AU141" s="507" t="s">
        <v>67</v>
      </c>
      <c r="AV141" s="507" t="s">
        <v>67</v>
      </c>
      <c r="AW141" s="507" t="s">
        <v>67</v>
      </c>
      <c r="AX141" s="507" t="s">
        <v>67</v>
      </c>
      <c r="AY141" s="508" t="s">
        <v>67</v>
      </c>
      <c r="AZ141" s="509" t="s">
        <v>67</v>
      </c>
      <c r="BA141" s="506" t="s">
        <v>67</v>
      </c>
      <c r="BB141" s="507" t="s">
        <v>67</v>
      </c>
      <c r="BC141" s="507" t="s">
        <v>67</v>
      </c>
      <c r="BD141" s="507" t="s">
        <v>67</v>
      </c>
      <c r="BE141" s="507" t="s">
        <v>67</v>
      </c>
      <c r="BF141" s="508" t="s">
        <v>67</v>
      </c>
      <c r="BG141" s="509" t="s">
        <v>67</v>
      </c>
      <c r="BH141" s="506" t="s">
        <v>67</v>
      </c>
      <c r="BI141" s="507" t="s">
        <v>67</v>
      </c>
      <c r="BJ141" s="507" t="s">
        <v>67</v>
      </c>
      <c r="BK141" s="507" t="s">
        <v>67</v>
      </c>
      <c r="BL141" s="507" t="s">
        <v>67</v>
      </c>
      <c r="BM141" s="508" t="s">
        <v>67</v>
      </c>
      <c r="BN141" s="509" t="s">
        <v>67</v>
      </c>
      <c r="BO141" s="506" t="s">
        <v>67</v>
      </c>
      <c r="BP141" s="507" t="s">
        <v>67</v>
      </c>
      <c r="BQ141" s="507" t="s">
        <v>67</v>
      </c>
      <c r="BR141" s="507" t="s">
        <v>67</v>
      </c>
      <c r="BS141" s="507" t="s">
        <v>67</v>
      </c>
      <c r="BT141" s="508" t="s">
        <v>67</v>
      </c>
      <c r="BU141" s="509" t="s">
        <v>67</v>
      </c>
      <c r="BV141" s="506" t="s">
        <v>67</v>
      </c>
      <c r="BW141" s="507" t="s">
        <v>67</v>
      </c>
      <c r="BX141" s="507" t="s">
        <v>67</v>
      </c>
      <c r="BY141" s="507" t="s">
        <v>67</v>
      </c>
      <c r="BZ141" s="507" t="s">
        <v>67</v>
      </c>
      <c r="CA141" s="508" t="s">
        <v>67</v>
      </c>
      <c r="CB141" s="509" t="s">
        <v>67</v>
      </c>
      <c r="CC141" s="514" t="s">
        <v>67</v>
      </c>
      <c r="CD141" s="515" t="s">
        <v>67</v>
      </c>
      <c r="CE141" s="515" t="s">
        <v>67</v>
      </c>
      <c r="CF141" s="515" t="s">
        <v>67</v>
      </c>
      <c r="CG141" s="515" t="s">
        <v>67</v>
      </c>
      <c r="CH141" s="516" t="s">
        <v>67</v>
      </c>
      <c r="CI141" s="517" t="s">
        <v>67</v>
      </c>
      <c r="CJ141" s="514" t="s">
        <v>67</v>
      </c>
      <c r="CK141" s="515" t="s">
        <v>67</v>
      </c>
      <c r="CL141" s="515" t="s">
        <v>67</v>
      </c>
      <c r="CM141" s="515" t="s">
        <v>67</v>
      </c>
      <c r="CN141" s="515" t="s">
        <v>67</v>
      </c>
      <c r="CO141" s="516" t="s">
        <v>67</v>
      </c>
      <c r="CP141" s="516" t="s">
        <v>67</v>
      </c>
      <c r="CQ141" s="516" t="s">
        <v>67</v>
      </c>
      <c r="CR141" s="517" t="s">
        <v>67</v>
      </c>
      <c r="CS141" s="514" t="s">
        <v>67</v>
      </c>
      <c r="CT141" s="515" t="s">
        <v>67</v>
      </c>
      <c r="CU141" s="515" t="s">
        <v>67</v>
      </c>
      <c r="CV141" s="515" t="s">
        <v>67</v>
      </c>
      <c r="CW141" s="515" t="s">
        <v>67</v>
      </c>
      <c r="CX141" s="516" t="s">
        <v>67</v>
      </c>
      <c r="CY141" s="516" t="s">
        <v>67</v>
      </c>
      <c r="CZ141" s="516" t="s">
        <v>67</v>
      </c>
      <c r="DA141" s="517" t="s">
        <v>67</v>
      </c>
      <c r="DB141" s="514" t="s">
        <v>67</v>
      </c>
      <c r="DC141" s="507" t="s">
        <v>67</v>
      </c>
      <c r="DD141" s="507" t="s">
        <v>67</v>
      </c>
      <c r="DE141" s="507" t="s">
        <v>67</v>
      </c>
      <c r="DF141" s="507" t="s">
        <v>67</v>
      </c>
      <c r="DG141" s="508" t="s">
        <v>67</v>
      </c>
      <c r="DH141" s="508" t="s">
        <v>67</v>
      </c>
      <c r="DI141" s="508" t="s">
        <v>67</v>
      </c>
      <c r="DJ141" s="509" t="s">
        <v>67</v>
      </c>
      <c r="DK141" s="506" t="s">
        <v>67</v>
      </c>
      <c r="DL141" s="507" t="s">
        <v>67</v>
      </c>
      <c r="DM141" s="507" t="s">
        <v>67</v>
      </c>
      <c r="DN141" s="507" t="s">
        <v>67</v>
      </c>
      <c r="DO141" s="507" t="s">
        <v>67</v>
      </c>
      <c r="DP141" s="508" t="s">
        <v>67</v>
      </c>
      <c r="DQ141" s="508" t="s">
        <v>67</v>
      </c>
      <c r="DR141" s="508" t="s">
        <v>67</v>
      </c>
      <c r="DS141" s="509" t="s">
        <v>67</v>
      </c>
      <c r="DT141" s="506" t="s">
        <v>67</v>
      </c>
      <c r="DU141" s="507" t="s">
        <v>67</v>
      </c>
      <c r="DV141" s="507" t="s">
        <v>67</v>
      </c>
      <c r="DW141" s="507" t="s">
        <v>67</v>
      </c>
      <c r="DX141" s="507" t="s">
        <v>67</v>
      </c>
      <c r="DY141" s="508" t="s">
        <v>67</v>
      </c>
      <c r="DZ141" s="508" t="s">
        <v>67</v>
      </c>
      <c r="EA141" s="508" t="s">
        <v>67</v>
      </c>
      <c r="EB141" s="509" t="s">
        <v>67</v>
      </c>
    </row>
    <row r="142" spans="1:132" s="2" customFormat="1" x14ac:dyDescent="0.25">
      <c r="A142" s="503" t="s">
        <v>357</v>
      </c>
      <c r="B142" s="504" t="s">
        <v>374</v>
      </c>
      <c r="C142" s="510" t="s">
        <v>375</v>
      </c>
      <c r="D142" s="506" t="s">
        <v>21</v>
      </c>
      <c r="E142" s="507" t="s">
        <v>21</v>
      </c>
      <c r="F142" s="507" t="s">
        <v>21</v>
      </c>
      <c r="G142" s="507" t="s">
        <v>21</v>
      </c>
      <c r="H142" s="507" t="s">
        <v>21</v>
      </c>
      <c r="I142" s="508" t="s">
        <v>67</v>
      </c>
      <c r="J142" s="509" t="s">
        <v>67</v>
      </c>
      <c r="K142" s="506" t="s">
        <v>67</v>
      </c>
      <c r="L142" s="507" t="s">
        <v>67</v>
      </c>
      <c r="M142" s="507" t="s">
        <v>67</v>
      </c>
      <c r="N142" s="507" t="s">
        <v>67</v>
      </c>
      <c r="O142" s="507" t="s">
        <v>67</v>
      </c>
      <c r="P142" s="508" t="s">
        <v>67</v>
      </c>
      <c r="Q142" s="509" t="s">
        <v>67</v>
      </c>
      <c r="R142" s="506" t="s">
        <v>67</v>
      </c>
      <c r="S142" s="507" t="s">
        <v>67</v>
      </c>
      <c r="T142" s="507" t="s">
        <v>67</v>
      </c>
      <c r="U142" s="507" t="s">
        <v>67</v>
      </c>
      <c r="V142" s="507" t="s">
        <v>67</v>
      </c>
      <c r="W142" s="508" t="s">
        <v>67</v>
      </c>
      <c r="X142" s="509" t="s">
        <v>67</v>
      </c>
      <c r="Y142" s="506" t="s">
        <v>67</v>
      </c>
      <c r="Z142" s="507" t="s">
        <v>67</v>
      </c>
      <c r="AA142" s="507" t="s">
        <v>67</v>
      </c>
      <c r="AB142" s="507" t="s">
        <v>67</v>
      </c>
      <c r="AC142" s="507" t="s">
        <v>67</v>
      </c>
      <c r="AD142" s="508" t="s">
        <v>67</v>
      </c>
      <c r="AE142" s="509" t="s">
        <v>67</v>
      </c>
      <c r="AF142" s="506" t="s">
        <v>67</v>
      </c>
      <c r="AG142" s="507" t="s">
        <v>67</v>
      </c>
      <c r="AH142" s="507" t="s">
        <v>67</v>
      </c>
      <c r="AI142" s="507" t="s">
        <v>67</v>
      </c>
      <c r="AJ142" s="507" t="s">
        <v>67</v>
      </c>
      <c r="AK142" s="508" t="s">
        <v>67</v>
      </c>
      <c r="AL142" s="509" t="s">
        <v>67</v>
      </c>
      <c r="AM142" s="506" t="s">
        <v>67</v>
      </c>
      <c r="AN142" s="507" t="s">
        <v>67</v>
      </c>
      <c r="AO142" s="507" t="s">
        <v>67</v>
      </c>
      <c r="AP142" s="507" t="s">
        <v>67</v>
      </c>
      <c r="AQ142" s="507" t="s">
        <v>67</v>
      </c>
      <c r="AR142" s="508" t="s">
        <v>67</v>
      </c>
      <c r="AS142" s="509" t="s">
        <v>67</v>
      </c>
      <c r="AT142" s="506" t="s">
        <v>67</v>
      </c>
      <c r="AU142" s="507" t="s">
        <v>67</v>
      </c>
      <c r="AV142" s="507" t="s">
        <v>67</v>
      </c>
      <c r="AW142" s="507" t="s">
        <v>67</v>
      </c>
      <c r="AX142" s="507" t="s">
        <v>67</v>
      </c>
      <c r="AY142" s="508" t="s">
        <v>67</v>
      </c>
      <c r="AZ142" s="509" t="s">
        <v>67</v>
      </c>
      <c r="BA142" s="506" t="s">
        <v>67</v>
      </c>
      <c r="BB142" s="507" t="s">
        <v>67</v>
      </c>
      <c r="BC142" s="507" t="s">
        <v>67</v>
      </c>
      <c r="BD142" s="507" t="s">
        <v>67</v>
      </c>
      <c r="BE142" s="507" t="s">
        <v>67</v>
      </c>
      <c r="BF142" s="508" t="s">
        <v>67</v>
      </c>
      <c r="BG142" s="509" t="s">
        <v>67</v>
      </c>
      <c r="BH142" s="506" t="s">
        <v>67</v>
      </c>
      <c r="BI142" s="507" t="s">
        <v>67</v>
      </c>
      <c r="BJ142" s="507" t="s">
        <v>67</v>
      </c>
      <c r="BK142" s="507" t="s">
        <v>67</v>
      </c>
      <c r="BL142" s="507" t="s">
        <v>67</v>
      </c>
      <c r="BM142" s="508" t="s">
        <v>67</v>
      </c>
      <c r="BN142" s="509" t="s">
        <v>67</v>
      </c>
      <c r="BO142" s="506" t="s">
        <v>67</v>
      </c>
      <c r="BP142" s="507" t="s">
        <v>67</v>
      </c>
      <c r="BQ142" s="507" t="s">
        <v>67</v>
      </c>
      <c r="BR142" s="507" t="s">
        <v>67</v>
      </c>
      <c r="BS142" s="507" t="s">
        <v>67</v>
      </c>
      <c r="BT142" s="508" t="s">
        <v>67</v>
      </c>
      <c r="BU142" s="509" t="s">
        <v>67</v>
      </c>
      <c r="BV142" s="506" t="s">
        <v>67</v>
      </c>
      <c r="BW142" s="507" t="s">
        <v>67</v>
      </c>
      <c r="BX142" s="507" t="s">
        <v>67</v>
      </c>
      <c r="BY142" s="507" t="s">
        <v>67</v>
      </c>
      <c r="BZ142" s="507" t="s">
        <v>67</v>
      </c>
      <c r="CA142" s="508" t="s">
        <v>67</v>
      </c>
      <c r="CB142" s="509" t="s">
        <v>67</v>
      </c>
      <c r="CC142" s="514" t="s">
        <v>67</v>
      </c>
      <c r="CD142" s="515" t="s">
        <v>67</v>
      </c>
      <c r="CE142" s="515" t="s">
        <v>67</v>
      </c>
      <c r="CF142" s="515" t="s">
        <v>67</v>
      </c>
      <c r="CG142" s="515" t="s">
        <v>67</v>
      </c>
      <c r="CH142" s="516" t="s">
        <v>67</v>
      </c>
      <c r="CI142" s="517" t="s">
        <v>67</v>
      </c>
      <c r="CJ142" s="514" t="s">
        <v>67</v>
      </c>
      <c r="CK142" s="515" t="s">
        <v>67</v>
      </c>
      <c r="CL142" s="515" t="s">
        <v>67</v>
      </c>
      <c r="CM142" s="515" t="s">
        <v>67</v>
      </c>
      <c r="CN142" s="515" t="s">
        <v>67</v>
      </c>
      <c r="CO142" s="516" t="s">
        <v>67</v>
      </c>
      <c r="CP142" s="516" t="s">
        <v>67</v>
      </c>
      <c r="CQ142" s="516" t="s">
        <v>67</v>
      </c>
      <c r="CR142" s="517" t="s">
        <v>67</v>
      </c>
      <c r="CS142" s="514" t="s">
        <v>67</v>
      </c>
      <c r="CT142" s="515" t="s">
        <v>67</v>
      </c>
      <c r="CU142" s="515" t="s">
        <v>67</v>
      </c>
      <c r="CV142" s="515" t="s">
        <v>67</v>
      </c>
      <c r="CW142" s="515" t="s">
        <v>67</v>
      </c>
      <c r="CX142" s="516" t="s">
        <v>67</v>
      </c>
      <c r="CY142" s="516" t="s">
        <v>67</v>
      </c>
      <c r="CZ142" s="516" t="s">
        <v>67</v>
      </c>
      <c r="DA142" s="517" t="s">
        <v>67</v>
      </c>
      <c r="DB142" s="514" t="s">
        <v>67</v>
      </c>
      <c r="DC142" s="507" t="s">
        <v>67</v>
      </c>
      <c r="DD142" s="507" t="s">
        <v>67</v>
      </c>
      <c r="DE142" s="507" t="s">
        <v>67</v>
      </c>
      <c r="DF142" s="507" t="s">
        <v>67</v>
      </c>
      <c r="DG142" s="508" t="s">
        <v>67</v>
      </c>
      <c r="DH142" s="508" t="s">
        <v>67</v>
      </c>
      <c r="DI142" s="508" t="s">
        <v>67</v>
      </c>
      <c r="DJ142" s="509" t="s">
        <v>67</v>
      </c>
      <c r="DK142" s="506" t="s">
        <v>67</v>
      </c>
      <c r="DL142" s="507" t="s">
        <v>67</v>
      </c>
      <c r="DM142" s="507" t="s">
        <v>67</v>
      </c>
      <c r="DN142" s="507" t="s">
        <v>67</v>
      </c>
      <c r="DO142" s="507" t="s">
        <v>67</v>
      </c>
      <c r="DP142" s="508" t="s">
        <v>67</v>
      </c>
      <c r="DQ142" s="508" t="s">
        <v>67</v>
      </c>
      <c r="DR142" s="508" t="s">
        <v>67</v>
      </c>
      <c r="DS142" s="509" t="s">
        <v>67</v>
      </c>
      <c r="DT142" s="506" t="s">
        <v>67</v>
      </c>
      <c r="DU142" s="507" t="s">
        <v>67</v>
      </c>
      <c r="DV142" s="507" t="s">
        <v>67</v>
      </c>
      <c r="DW142" s="507" t="s">
        <v>67</v>
      </c>
      <c r="DX142" s="507" t="s">
        <v>67</v>
      </c>
      <c r="DY142" s="508" t="s">
        <v>67</v>
      </c>
      <c r="DZ142" s="508" t="s">
        <v>67</v>
      </c>
      <c r="EA142" s="508" t="s">
        <v>67</v>
      </c>
      <c r="EB142" s="509" t="s">
        <v>67</v>
      </c>
    </row>
    <row r="143" spans="1:132" s="2" customFormat="1" x14ac:dyDescent="0.25">
      <c r="A143" s="503" t="s">
        <v>357</v>
      </c>
      <c r="B143" s="512">
        <v>26900</v>
      </c>
      <c r="C143" s="532" t="s">
        <v>199</v>
      </c>
      <c r="D143" s="528"/>
      <c r="E143" s="515"/>
      <c r="F143" s="515"/>
      <c r="G143" s="515"/>
      <c r="H143" s="515"/>
      <c r="I143" s="508" t="s">
        <v>67</v>
      </c>
      <c r="J143" s="509" t="s">
        <v>67</v>
      </c>
      <c r="K143" s="528" t="s">
        <v>67</v>
      </c>
      <c r="L143" s="515" t="s">
        <v>67</v>
      </c>
      <c r="M143" s="515" t="s">
        <v>67</v>
      </c>
      <c r="N143" s="515" t="s">
        <v>67</v>
      </c>
      <c r="O143" s="515" t="s">
        <v>67</v>
      </c>
      <c r="P143" s="516" t="s">
        <v>67</v>
      </c>
      <c r="Q143" s="517" t="s">
        <v>67</v>
      </c>
      <c r="R143" s="528" t="s">
        <v>67</v>
      </c>
      <c r="S143" s="515" t="s">
        <v>67</v>
      </c>
      <c r="T143" s="515" t="s">
        <v>67</v>
      </c>
      <c r="U143" s="515" t="s">
        <v>67</v>
      </c>
      <c r="V143" s="515" t="s">
        <v>67</v>
      </c>
      <c r="W143" s="516" t="s">
        <v>67</v>
      </c>
      <c r="X143" s="517" t="s">
        <v>67</v>
      </c>
      <c r="Y143" s="528" t="s">
        <v>67</v>
      </c>
      <c r="Z143" s="515" t="s">
        <v>67</v>
      </c>
      <c r="AA143" s="515" t="s">
        <v>67</v>
      </c>
      <c r="AB143" s="515" t="s">
        <v>67</v>
      </c>
      <c r="AC143" s="515" t="s">
        <v>67</v>
      </c>
      <c r="AD143" s="516" t="s">
        <v>67</v>
      </c>
      <c r="AE143" s="517" t="s">
        <v>67</v>
      </c>
      <c r="AF143" s="514" t="s">
        <v>67</v>
      </c>
      <c r="AG143" s="515" t="s">
        <v>67</v>
      </c>
      <c r="AH143" s="515" t="s">
        <v>67</v>
      </c>
      <c r="AI143" s="515" t="s">
        <v>67</v>
      </c>
      <c r="AJ143" s="515" t="s">
        <v>67</v>
      </c>
      <c r="AK143" s="516" t="s">
        <v>67</v>
      </c>
      <c r="AL143" s="517" t="s">
        <v>67</v>
      </c>
      <c r="AM143" s="514" t="s">
        <v>67</v>
      </c>
      <c r="AN143" s="515" t="s">
        <v>67</v>
      </c>
      <c r="AO143" s="515" t="s">
        <v>67</v>
      </c>
      <c r="AP143" s="515" t="s">
        <v>67</v>
      </c>
      <c r="AQ143" s="515" t="s">
        <v>67</v>
      </c>
      <c r="AR143" s="516" t="s">
        <v>67</v>
      </c>
      <c r="AS143" s="517" t="s">
        <v>67</v>
      </c>
      <c r="AT143" s="514" t="s">
        <v>67</v>
      </c>
      <c r="AU143" s="515" t="s">
        <v>67</v>
      </c>
      <c r="AV143" s="515" t="s">
        <v>67</v>
      </c>
      <c r="AW143" s="515" t="s">
        <v>67</v>
      </c>
      <c r="AX143" s="515" t="s">
        <v>67</v>
      </c>
      <c r="AY143" s="516" t="s">
        <v>67</v>
      </c>
      <c r="AZ143" s="517" t="s">
        <v>67</v>
      </c>
      <c r="BA143" s="514" t="s">
        <v>67</v>
      </c>
      <c r="BB143" s="515" t="s">
        <v>67</v>
      </c>
      <c r="BC143" s="515" t="s">
        <v>67</v>
      </c>
      <c r="BD143" s="515" t="s">
        <v>67</v>
      </c>
      <c r="BE143" s="515" t="s">
        <v>67</v>
      </c>
      <c r="BF143" s="516" t="s">
        <v>67</v>
      </c>
      <c r="BG143" s="517" t="s">
        <v>67</v>
      </c>
      <c r="BH143" s="514" t="s">
        <v>67</v>
      </c>
      <c r="BI143" s="515" t="s">
        <v>67</v>
      </c>
      <c r="BJ143" s="515" t="s">
        <v>67</v>
      </c>
      <c r="BK143" s="515" t="s">
        <v>67</v>
      </c>
      <c r="BL143" s="515" t="s">
        <v>67</v>
      </c>
      <c r="BM143" s="516" t="s">
        <v>67</v>
      </c>
      <c r="BN143" s="517" t="s">
        <v>67</v>
      </c>
      <c r="BO143" s="514" t="s">
        <v>67</v>
      </c>
      <c r="BP143" s="515" t="s">
        <v>67</v>
      </c>
      <c r="BQ143" s="515" t="s">
        <v>67</v>
      </c>
      <c r="BR143" s="515" t="s">
        <v>67</v>
      </c>
      <c r="BS143" s="515" t="s">
        <v>67</v>
      </c>
      <c r="BT143" s="516" t="s">
        <v>67</v>
      </c>
      <c r="BU143" s="517" t="s">
        <v>67</v>
      </c>
      <c r="BV143" s="514">
        <v>56</v>
      </c>
      <c r="BW143" s="515">
        <v>56</v>
      </c>
      <c r="BX143" s="515">
        <v>56</v>
      </c>
      <c r="BY143" s="515">
        <v>31</v>
      </c>
      <c r="BZ143" s="515">
        <v>26</v>
      </c>
      <c r="CA143" s="516">
        <f t="shared" ref="CA143" si="252">BY143/BW143</f>
        <v>0.5535714285714286</v>
      </c>
      <c r="CB143" s="517">
        <f t="shared" ref="CB143" si="253">BY143/BX143</f>
        <v>0.5535714285714286</v>
      </c>
      <c r="CC143" s="514">
        <v>48</v>
      </c>
      <c r="CD143" s="515">
        <v>48</v>
      </c>
      <c r="CE143" s="515">
        <v>48</v>
      </c>
      <c r="CF143" s="515">
        <v>27</v>
      </c>
      <c r="CG143" s="515">
        <v>26</v>
      </c>
      <c r="CH143" s="516">
        <f t="shared" ref="CH143:CH159" si="254">CF143/CD143</f>
        <v>0.5625</v>
      </c>
      <c r="CI143" s="517">
        <f t="shared" ref="CI143:CI159" si="255">CF143/CE143</f>
        <v>0.5625</v>
      </c>
      <c r="CJ143" s="514">
        <v>38</v>
      </c>
      <c r="CK143" s="515">
        <v>38</v>
      </c>
      <c r="CL143" s="515">
        <v>38</v>
      </c>
      <c r="CM143" s="515">
        <v>20</v>
      </c>
      <c r="CN143" s="515">
        <v>19</v>
      </c>
      <c r="CO143" s="516">
        <f t="shared" ref="CO143:CO151" si="256">CM143/CK143</f>
        <v>0.52631578947368418</v>
      </c>
      <c r="CP143" s="516">
        <f t="shared" ref="CP143:CP151" si="257">CM143/CL143</f>
        <v>0.52631578947368418</v>
      </c>
      <c r="CQ143" s="516">
        <v>0.52631578947368418</v>
      </c>
      <c r="CR143" s="517">
        <v>0.52631578947368418</v>
      </c>
      <c r="CS143" s="514">
        <v>53</v>
      </c>
      <c r="CT143" s="515">
        <v>53</v>
      </c>
      <c r="CU143" s="515">
        <v>53</v>
      </c>
      <c r="CV143" s="515">
        <v>22</v>
      </c>
      <c r="CW143" s="515">
        <v>18</v>
      </c>
      <c r="CX143" s="516">
        <f t="shared" ref="CX143:CX151" si="258">CV143/CT143</f>
        <v>0.41509433962264153</v>
      </c>
      <c r="CY143" s="516">
        <f t="shared" ref="CY143:CY151" si="259">CV143/CU143</f>
        <v>0.41509433962264153</v>
      </c>
      <c r="CZ143" s="516">
        <v>0.41509433962264153</v>
      </c>
      <c r="DA143" s="517">
        <v>0.41509433962264153</v>
      </c>
      <c r="DB143" s="514">
        <v>34</v>
      </c>
      <c r="DC143" s="515">
        <v>34</v>
      </c>
      <c r="DD143" s="515">
        <v>34</v>
      </c>
      <c r="DE143" s="515">
        <v>17</v>
      </c>
      <c r="DF143" s="515">
        <v>16</v>
      </c>
      <c r="DG143" s="516">
        <f t="shared" ref="DG143:DG151" si="260">DE143/DC143</f>
        <v>0.5</v>
      </c>
      <c r="DH143" s="516">
        <f t="shared" ref="DH143:DH151" si="261">DE143/DD143</f>
        <v>0.5</v>
      </c>
      <c r="DI143" s="516">
        <v>1</v>
      </c>
      <c r="DJ143" s="517">
        <v>1</v>
      </c>
      <c r="DK143" s="514">
        <v>55</v>
      </c>
      <c r="DL143" s="515">
        <v>55</v>
      </c>
      <c r="DM143" s="515">
        <v>40</v>
      </c>
      <c r="DN143" s="515">
        <v>29</v>
      </c>
      <c r="DO143" s="515">
        <v>27</v>
      </c>
      <c r="DP143" s="516">
        <f t="shared" ref="DP143:DP151" si="262">DN143/DL143</f>
        <v>0.52727272727272723</v>
      </c>
      <c r="DQ143" s="516">
        <f t="shared" ref="DQ143:DQ151" si="263">DN143/DM143</f>
        <v>0.72499999999999998</v>
      </c>
      <c r="DR143" s="516">
        <v>0.69090909090909092</v>
      </c>
      <c r="DS143" s="517">
        <v>0.95</v>
      </c>
      <c r="DT143" s="514">
        <v>72</v>
      </c>
      <c r="DU143" s="515">
        <v>72</v>
      </c>
      <c r="DV143" s="515">
        <v>51</v>
      </c>
      <c r="DW143" s="515">
        <v>35</v>
      </c>
      <c r="DX143" s="515">
        <v>28</v>
      </c>
      <c r="DY143" s="516">
        <f t="shared" ref="DY143:DY151" si="264">DW143/DU143</f>
        <v>0.4861111111111111</v>
      </c>
      <c r="DZ143" s="516">
        <f t="shared" ref="DZ143:DZ151" si="265">DW143/DV143</f>
        <v>0.68627450980392157</v>
      </c>
      <c r="EA143" s="516">
        <v>0.59722222222222221</v>
      </c>
      <c r="EB143" s="517">
        <v>0.84313725490196079</v>
      </c>
    </row>
    <row r="144" spans="1:132" s="2" customFormat="1" x14ac:dyDescent="0.25">
      <c r="A144" s="551" t="s">
        <v>376</v>
      </c>
      <c r="B144" s="552" t="s">
        <v>377</v>
      </c>
      <c r="C144" s="553"/>
      <c r="D144" s="535">
        <v>11977</v>
      </c>
      <c r="E144" s="559">
        <v>10657</v>
      </c>
      <c r="F144" s="559">
        <v>10178</v>
      </c>
      <c r="G144" s="559">
        <v>8628</v>
      </c>
      <c r="H144" s="560">
        <v>6996</v>
      </c>
      <c r="I144" s="561">
        <f t="shared" si="250"/>
        <v>0.80960870789152672</v>
      </c>
      <c r="J144" s="562">
        <f t="shared" si="251"/>
        <v>0.84771074867360974</v>
      </c>
      <c r="K144" s="535">
        <v>11986</v>
      </c>
      <c r="L144" s="559">
        <v>10452</v>
      </c>
      <c r="M144" s="559">
        <v>10075</v>
      </c>
      <c r="N144" s="559">
        <v>7962</v>
      </c>
      <c r="O144" s="560">
        <v>6376</v>
      </c>
      <c r="P144" s="561">
        <f t="shared" ref="P144:P159" si="266">N144/L144</f>
        <v>0.76176808266360507</v>
      </c>
      <c r="Q144" s="562">
        <f t="shared" ref="Q144:Q159" si="267">N144/M144</f>
        <v>0.790272952853598</v>
      </c>
      <c r="R144" s="535">
        <v>10848</v>
      </c>
      <c r="S144" s="559">
        <v>9392</v>
      </c>
      <c r="T144" s="559">
        <v>9232</v>
      </c>
      <c r="U144" s="559">
        <v>6648</v>
      </c>
      <c r="V144" s="560">
        <v>5959</v>
      </c>
      <c r="W144" s="561">
        <f t="shared" si="248"/>
        <v>0.70783645655877347</v>
      </c>
      <c r="X144" s="562">
        <f t="shared" si="249"/>
        <v>0.72010398613518201</v>
      </c>
      <c r="Y144" s="535">
        <v>10465</v>
      </c>
      <c r="Z144" s="559">
        <v>9223</v>
      </c>
      <c r="AA144" s="559">
        <v>8928</v>
      </c>
      <c r="AB144" s="559">
        <v>6628</v>
      </c>
      <c r="AC144" s="560">
        <v>5881</v>
      </c>
      <c r="AD144" s="561">
        <f t="shared" ref="AD144:AD159" si="268">AB144/Z144</f>
        <v>0.7186381871408436</v>
      </c>
      <c r="AE144" s="562">
        <f t="shared" ref="AE144:AE159" si="269">AB144/AA144</f>
        <v>0.74238351254480284</v>
      </c>
      <c r="AF144" s="535">
        <v>8769</v>
      </c>
      <c r="AG144" s="559">
        <v>7856</v>
      </c>
      <c r="AH144" s="559">
        <v>7525</v>
      </c>
      <c r="AI144" s="559">
        <v>6281</v>
      </c>
      <c r="AJ144" s="560">
        <v>5230</v>
      </c>
      <c r="AK144" s="561">
        <f t="shared" ref="AK144:AK159" si="270">AI144/AG144</f>
        <v>0.79951629327902241</v>
      </c>
      <c r="AL144" s="562">
        <f t="shared" ref="AL144:AL159" si="271">AI144/AH144</f>
        <v>0.8346843853820598</v>
      </c>
      <c r="AM144" s="535">
        <v>7095</v>
      </c>
      <c r="AN144" s="559">
        <v>6422</v>
      </c>
      <c r="AO144" s="559">
        <v>6068</v>
      </c>
      <c r="AP144" s="559">
        <v>5041</v>
      </c>
      <c r="AQ144" s="560">
        <v>4529</v>
      </c>
      <c r="AR144" s="561">
        <f t="shared" ref="AR144:AR159" si="272">AP144/AN144</f>
        <v>0.7849579570227343</v>
      </c>
      <c r="AS144" s="562">
        <f t="shared" ref="AS144:AS159" si="273">AP144/AO144</f>
        <v>0.83075148319050762</v>
      </c>
      <c r="AT144" s="535">
        <v>6438</v>
      </c>
      <c r="AU144" s="559">
        <v>5812</v>
      </c>
      <c r="AV144" s="559">
        <v>5623</v>
      </c>
      <c r="AW144" s="559">
        <v>4685</v>
      </c>
      <c r="AX144" s="560">
        <v>4193</v>
      </c>
      <c r="AY144" s="561">
        <f t="shared" ref="AY144:AY159" si="274">AW144/AU144</f>
        <v>0.80609084652443219</v>
      </c>
      <c r="AZ144" s="562">
        <f t="shared" ref="AZ144:AZ159" si="275">AW144/AV144</f>
        <v>0.83318513249155257</v>
      </c>
      <c r="BA144" s="535">
        <v>5498</v>
      </c>
      <c r="BB144" s="559">
        <v>4912</v>
      </c>
      <c r="BC144" s="559">
        <v>4812</v>
      </c>
      <c r="BD144" s="559">
        <v>4079</v>
      </c>
      <c r="BE144" s="560">
        <v>3604</v>
      </c>
      <c r="BF144" s="561">
        <f t="shared" ref="BF144:BF159" si="276">BD144/BB144</f>
        <v>0.83041530944625408</v>
      </c>
      <c r="BG144" s="562">
        <f t="shared" ref="BG144:BG159" si="277">BD144/BC144</f>
        <v>0.84767248545303409</v>
      </c>
      <c r="BH144" s="535">
        <v>4884</v>
      </c>
      <c r="BI144" s="559">
        <v>4346</v>
      </c>
      <c r="BJ144" s="559">
        <v>4266</v>
      </c>
      <c r="BK144" s="559">
        <v>3587</v>
      </c>
      <c r="BL144" s="560">
        <v>3221</v>
      </c>
      <c r="BM144" s="561">
        <f t="shared" ref="BM144:BM159" si="278">BK144/BI144</f>
        <v>0.82535664979291301</v>
      </c>
      <c r="BN144" s="562">
        <f t="shared" ref="BN144:BN159" si="279">BK144/BJ144</f>
        <v>0.84083450539146742</v>
      </c>
      <c r="BO144" s="535">
        <v>4433</v>
      </c>
      <c r="BP144" s="559">
        <v>3911</v>
      </c>
      <c r="BQ144" s="559">
        <v>3834</v>
      </c>
      <c r="BR144" s="559">
        <v>3124</v>
      </c>
      <c r="BS144" s="560">
        <v>2786</v>
      </c>
      <c r="BT144" s="561">
        <f t="shared" ref="BT144:BT159" si="280">BR144/BP144</f>
        <v>0.79877269240603421</v>
      </c>
      <c r="BU144" s="562">
        <f t="shared" ref="BU144:BU159" si="281">BR144/BQ144</f>
        <v>0.81481481481481477</v>
      </c>
      <c r="BV144" s="535">
        <v>4701</v>
      </c>
      <c r="BW144" s="559">
        <v>4096</v>
      </c>
      <c r="BX144" s="559">
        <v>4017</v>
      </c>
      <c r="BY144" s="559">
        <v>3162</v>
      </c>
      <c r="BZ144" s="560">
        <v>2855</v>
      </c>
      <c r="CA144" s="561">
        <f t="shared" ref="CA144:CA159" si="282">BY144/BW144</f>
        <v>0.77197265625</v>
      </c>
      <c r="CB144" s="562">
        <f t="shared" ref="CB144:CB159" si="283">BY144/BX144</f>
        <v>0.7871545929798357</v>
      </c>
      <c r="CC144" s="535">
        <v>5506</v>
      </c>
      <c r="CD144" s="559">
        <v>4412</v>
      </c>
      <c r="CE144" s="559">
        <v>4171</v>
      </c>
      <c r="CF144" s="559">
        <v>4030</v>
      </c>
      <c r="CG144" s="560">
        <v>3180</v>
      </c>
      <c r="CH144" s="561">
        <f t="shared" si="254"/>
        <v>0.91341795104261103</v>
      </c>
      <c r="CI144" s="562">
        <f t="shared" si="255"/>
        <v>0.9661951570366818</v>
      </c>
      <c r="CJ144" s="535">
        <v>5913</v>
      </c>
      <c r="CK144" s="559">
        <v>4549</v>
      </c>
      <c r="CL144" s="559">
        <v>4147</v>
      </c>
      <c r="CM144" s="559">
        <v>4089</v>
      </c>
      <c r="CN144" s="560">
        <v>3231</v>
      </c>
      <c r="CO144" s="561">
        <f t="shared" si="256"/>
        <v>0.89887887447790726</v>
      </c>
      <c r="CP144" s="664">
        <f t="shared" si="257"/>
        <v>0.98601398601398604</v>
      </c>
      <c r="CQ144" s="561">
        <v>0.90019784568036931</v>
      </c>
      <c r="CR144" s="562">
        <v>0.98746081504702199</v>
      </c>
      <c r="CS144" s="535">
        <v>6595</v>
      </c>
      <c r="CT144" s="559">
        <v>4912</v>
      </c>
      <c r="CU144" s="559">
        <v>4251</v>
      </c>
      <c r="CV144" s="559">
        <v>3970</v>
      </c>
      <c r="CW144" s="560">
        <v>3417</v>
      </c>
      <c r="CX144" s="561">
        <f t="shared" si="258"/>
        <v>0.8082247557003257</v>
      </c>
      <c r="CY144" s="664">
        <f t="shared" si="259"/>
        <v>0.93389790637497061</v>
      </c>
      <c r="CZ144" s="561">
        <v>0.85667752442996747</v>
      </c>
      <c r="DA144" s="562">
        <v>0.98988473300399904</v>
      </c>
      <c r="DB144" s="535">
        <v>7205</v>
      </c>
      <c r="DC144" s="559">
        <v>5328</v>
      </c>
      <c r="DD144" s="559">
        <v>4660</v>
      </c>
      <c r="DE144" s="559">
        <v>4331</v>
      </c>
      <c r="DF144" s="560">
        <v>3732</v>
      </c>
      <c r="DG144" s="561">
        <f t="shared" si="260"/>
        <v>0.81287537537537535</v>
      </c>
      <c r="DH144" s="664">
        <f t="shared" si="261"/>
        <v>0.92939914163090132</v>
      </c>
      <c r="DI144" s="561">
        <v>0.86223723723723722</v>
      </c>
      <c r="DJ144" s="562">
        <v>0.98583690987124462</v>
      </c>
      <c r="DK144" s="535">
        <v>8426</v>
      </c>
      <c r="DL144" s="559">
        <v>6130</v>
      </c>
      <c r="DM144" s="559">
        <v>5438</v>
      </c>
      <c r="DN144" s="559">
        <v>5053</v>
      </c>
      <c r="DO144" s="560">
        <v>4309</v>
      </c>
      <c r="DP144" s="561">
        <f t="shared" si="262"/>
        <v>0.82430668841761823</v>
      </c>
      <c r="DQ144" s="664">
        <f t="shared" si="263"/>
        <v>0.92920191246781902</v>
      </c>
      <c r="DR144" s="561">
        <v>0.86541598694942901</v>
      </c>
      <c r="DS144" s="562">
        <v>0.97554247885251932</v>
      </c>
      <c r="DT144" s="535">
        <v>9266</v>
      </c>
      <c r="DU144" s="559">
        <v>6496</v>
      </c>
      <c r="DV144" s="559">
        <v>6130</v>
      </c>
      <c r="DW144" s="559">
        <v>5138</v>
      </c>
      <c r="DX144" s="560">
        <v>4405</v>
      </c>
      <c r="DY144" s="561">
        <f t="shared" si="264"/>
        <v>0.79094827586206895</v>
      </c>
      <c r="DZ144" s="664">
        <f t="shared" si="265"/>
        <v>0.8381729200652529</v>
      </c>
      <c r="EA144" s="561">
        <v>0.90902093596059108</v>
      </c>
      <c r="EB144" s="562">
        <v>0.9632952691680261</v>
      </c>
    </row>
    <row r="145" spans="1:132" s="2" customFormat="1" x14ac:dyDescent="0.25">
      <c r="A145" s="554" t="s">
        <v>376</v>
      </c>
      <c r="B145" s="555" t="s">
        <v>378</v>
      </c>
      <c r="C145" s="556" t="s">
        <v>285</v>
      </c>
      <c r="D145" s="499">
        <v>1615</v>
      </c>
      <c r="E145" s="500">
        <v>1535</v>
      </c>
      <c r="F145" s="500">
        <v>1119</v>
      </c>
      <c r="G145" s="500">
        <v>1013</v>
      </c>
      <c r="H145" s="500">
        <v>895</v>
      </c>
      <c r="I145" s="501">
        <f t="shared" si="250"/>
        <v>0.65993485342019542</v>
      </c>
      <c r="J145" s="502">
        <f t="shared" si="251"/>
        <v>0.90527256478999107</v>
      </c>
      <c r="K145" s="499">
        <v>1748</v>
      </c>
      <c r="L145" s="500">
        <v>1613</v>
      </c>
      <c r="M145" s="500">
        <v>1300</v>
      </c>
      <c r="N145" s="500">
        <v>915</v>
      </c>
      <c r="O145" s="500">
        <v>789</v>
      </c>
      <c r="P145" s="501">
        <f t="shared" si="266"/>
        <v>0.56726596404215746</v>
      </c>
      <c r="Q145" s="502">
        <f t="shared" si="267"/>
        <v>0.7038461538461539</v>
      </c>
      <c r="R145" s="499">
        <v>1267</v>
      </c>
      <c r="S145" s="500">
        <v>1177</v>
      </c>
      <c r="T145" s="500">
        <v>1164</v>
      </c>
      <c r="U145" s="500">
        <v>839</v>
      </c>
      <c r="V145" s="500">
        <v>648</v>
      </c>
      <c r="W145" s="501">
        <f t="shared" si="248"/>
        <v>0.71282922684791838</v>
      </c>
      <c r="X145" s="502">
        <f t="shared" si="249"/>
        <v>0.72079037800687284</v>
      </c>
      <c r="Y145" s="499">
        <v>1135</v>
      </c>
      <c r="Z145" s="500">
        <v>1090</v>
      </c>
      <c r="AA145" s="500">
        <v>1076</v>
      </c>
      <c r="AB145" s="500">
        <v>860</v>
      </c>
      <c r="AC145" s="500">
        <v>602</v>
      </c>
      <c r="AD145" s="501">
        <f t="shared" si="268"/>
        <v>0.78899082568807344</v>
      </c>
      <c r="AE145" s="502">
        <f t="shared" si="269"/>
        <v>0.7992565055762082</v>
      </c>
      <c r="AF145" s="499">
        <v>819</v>
      </c>
      <c r="AG145" s="500">
        <v>817</v>
      </c>
      <c r="AH145" s="500">
        <v>806</v>
      </c>
      <c r="AI145" s="500">
        <v>554</v>
      </c>
      <c r="AJ145" s="500">
        <v>491</v>
      </c>
      <c r="AK145" s="501">
        <f t="shared" si="270"/>
        <v>0.67809057527539784</v>
      </c>
      <c r="AL145" s="502">
        <f t="shared" si="271"/>
        <v>0.68734491315136481</v>
      </c>
      <c r="AM145" s="499">
        <v>614</v>
      </c>
      <c r="AN145" s="500">
        <v>612</v>
      </c>
      <c r="AO145" s="500">
        <v>601</v>
      </c>
      <c r="AP145" s="500">
        <v>419</v>
      </c>
      <c r="AQ145" s="500">
        <v>373</v>
      </c>
      <c r="AR145" s="501">
        <f t="shared" si="272"/>
        <v>0.684640522875817</v>
      </c>
      <c r="AS145" s="502">
        <f t="shared" si="273"/>
        <v>0.69717138103161402</v>
      </c>
      <c r="AT145" s="499">
        <v>605</v>
      </c>
      <c r="AU145" s="500">
        <v>604</v>
      </c>
      <c r="AV145" s="500">
        <v>604</v>
      </c>
      <c r="AW145" s="500">
        <v>417</v>
      </c>
      <c r="AX145" s="500">
        <v>363</v>
      </c>
      <c r="AY145" s="501">
        <f t="shared" si="274"/>
        <v>0.69039735099337751</v>
      </c>
      <c r="AZ145" s="502">
        <f t="shared" si="275"/>
        <v>0.69039735099337751</v>
      </c>
      <c r="BA145" s="499">
        <v>536</v>
      </c>
      <c r="BB145" s="500">
        <v>534</v>
      </c>
      <c r="BC145" s="500">
        <v>534</v>
      </c>
      <c r="BD145" s="500">
        <v>397</v>
      </c>
      <c r="BE145" s="500">
        <v>343</v>
      </c>
      <c r="BF145" s="501">
        <f t="shared" si="276"/>
        <v>0.74344569288389517</v>
      </c>
      <c r="BG145" s="502">
        <f t="shared" si="277"/>
        <v>0.74344569288389517</v>
      </c>
      <c r="BH145" s="499">
        <v>458</v>
      </c>
      <c r="BI145" s="500">
        <v>452</v>
      </c>
      <c r="BJ145" s="500">
        <v>452</v>
      </c>
      <c r="BK145" s="500">
        <v>339</v>
      </c>
      <c r="BL145" s="500">
        <v>281</v>
      </c>
      <c r="BM145" s="501">
        <f t="shared" si="278"/>
        <v>0.75</v>
      </c>
      <c r="BN145" s="502">
        <f t="shared" si="279"/>
        <v>0.75</v>
      </c>
      <c r="BO145" s="499">
        <v>444</v>
      </c>
      <c r="BP145" s="500">
        <v>435</v>
      </c>
      <c r="BQ145" s="500">
        <v>435</v>
      </c>
      <c r="BR145" s="500">
        <v>345</v>
      </c>
      <c r="BS145" s="500">
        <v>299</v>
      </c>
      <c r="BT145" s="501">
        <f t="shared" si="280"/>
        <v>0.7931034482758621</v>
      </c>
      <c r="BU145" s="502">
        <f t="shared" si="281"/>
        <v>0.7931034482758621</v>
      </c>
      <c r="BV145" s="499">
        <v>461</v>
      </c>
      <c r="BW145" s="500">
        <v>433</v>
      </c>
      <c r="BX145" s="500">
        <v>433</v>
      </c>
      <c r="BY145" s="500">
        <v>334</v>
      </c>
      <c r="BZ145" s="500">
        <v>276</v>
      </c>
      <c r="CA145" s="501">
        <f t="shared" si="282"/>
        <v>0.77136258660508084</v>
      </c>
      <c r="CB145" s="502">
        <f t="shared" si="283"/>
        <v>0.77136258660508084</v>
      </c>
      <c r="CC145" s="499">
        <v>450</v>
      </c>
      <c r="CD145" s="500">
        <v>422</v>
      </c>
      <c r="CE145" s="500">
        <v>317</v>
      </c>
      <c r="CF145" s="500">
        <v>301</v>
      </c>
      <c r="CG145" s="500">
        <v>215</v>
      </c>
      <c r="CH145" s="501">
        <f t="shared" si="254"/>
        <v>0.71327014218009477</v>
      </c>
      <c r="CI145" s="502">
        <f t="shared" si="255"/>
        <v>0.94952681388012616</v>
      </c>
      <c r="CJ145" s="499">
        <v>570</v>
      </c>
      <c r="CK145" s="500">
        <v>512</v>
      </c>
      <c r="CL145" s="500">
        <v>404</v>
      </c>
      <c r="CM145" s="500">
        <v>403</v>
      </c>
      <c r="CN145" s="500">
        <v>312</v>
      </c>
      <c r="CO145" s="501">
        <f t="shared" si="256"/>
        <v>0.787109375</v>
      </c>
      <c r="CP145" s="501">
        <f t="shared" si="257"/>
        <v>0.99752475247524752</v>
      </c>
      <c r="CQ145" s="501">
        <v>0.787109375</v>
      </c>
      <c r="CR145" s="502">
        <v>0.99752475247524752</v>
      </c>
      <c r="CS145" s="499">
        <v>690</v>
      </c>
      <c r="CT145" s="500">
        <v>588</v>
      </c>
      <c r="CU145" s="500">
        <v>463</v>
      </c>
      <c r="CV145" s="500">
        <v>463</v>
      </c>
      <c r="CW145" s="500">
        <v>339</v>
      </c>
      <c r="CX145" s="501">
        <f t="shared" si="258"/>
        <v>0.7874149659863946</v>
      </c>
      <c r="CY145" s="501">
        <f t="shared" si="259"/>
        <v>1</v>
      </c>
      <c r="CZ145" s="501">
        <v>0.7874149659863946</v>
      </c>
      <c r="DA145" s="502">
        <v>1</v>
      </c>
      <c r="DB145" s="499">
        <v>719</v>
      </c>
      <c r="DC145" s="500">
        <v>632</v>
      </c>
      <c r="DD145" s="500">
        <v>516</v>
      </c>
      <c r="DE145" s="500">
        <v>514</v>
      </c>
      <c r="DF145" s="500">
        <v>374</v>
      </c>
      <c r="DG145" s="501">
        <f t="shared" si="260"/>
        <v>0.81329113924050633</v>
      </c>
      <c r="DH145" s="501">
        <f t="shared" si="261"/>
        <v>0.99612403100775193</v>
      </c>
      <c r="DI145" s="501">
        <v>0.81329113924050633</v>
      </c>
      <c r="DJ145" s="502">
        <v>0.99612403100775193</v>
      </c>
      <c r="DK145" s="499">
        <v>757</v>
      </c>
      <c r="DL145" s="500">
        <v>678</v>
      </c>
      <c r="DM145" s="500">
        <v>539</v>
      </c>
      <c r="DN145" s="500">
        <v>535</v>
      </c>
      <c r="DO145" s="500">
        <v>405</v>
      </c>
      <c r="DP145" s="501">
        <f t="shared" si="262"/>
        <v>0.78908554572271383</v>
      </c>
      <c r="DQ145" s="501">
        <f t="shared" si="263"/>
        <v>0.99257884972170685</v>
      </c>
      <c r="DR145" s="501">
        <v>0.78908554572271383</v>
      </c>
      <c r="DS145" s="502">
        <v>0.99257884972170685</v>
      </c>
      <c r="DT145" s="499">
        <v>938</v>
      </c>
      <c r="DU145" s="500">
        <v>756</v>
      </c>
      <c r="DV145" s="500">
        <v>756</v>
      </c>
      <c r="DW145" s="500">
        <v>584</v>
      </c>
      <c r="DX145" s="500">
        <v>477</v>
      </c>
      <c r="DY145" s="501">
        <f t="shared" si="264"/>
        <v>0.77248677248677244</v>
      </c>
      <c r="DZ145" s="501">
        <f t="shared" si="265"/>
        <v>0.77248677248677244</v>
      </c>
      <c r="EA145" s="501">
        <v>0.96957671957671954</v>
      </c>
      <c r="EB145" s="502">
        <v>0.96957671957671954</v>
      </c>
    </row>
    <row r="146" spans="1:132" s="2" customFormat="1" x14ac:dyDescent="0.25">
      <c r="A146" s="503" t="s">
        <v>376</v>
      </c>
      <c r="B146" s="504" t="s">
        <v>379</v>
      </c>
      <c r="C146" s="505" t="s">
        <v>380</v>
      </c>
      <c r="D146" s="506">
        <v>758</v>
      </c>
      <c r="E146" s="507">
        <v>758</v>
      </c>
      <c r="F146" s="507">
        <v>657</v>
      </c>
      <c r="G146" s="507">
        <v>599</v>
      </c>
      <c r="H146" s="507">
        <v>494</v>
      </c>
      <c r="I146" s="508">
        <f t="shared" si="250"/>
        <v>0.79023746701846964</v>
      </c>
      <c r="J146" s="509">
        <f t="shared" si="251"/>
        <v>0.9117199391171994</v>
      </c>
      <c r="K146" s="506">
        <v>773</v>
      </c>
      <c r="L146" s="507">
        <v>767</v>
      </c>
      <c r="M146" s="507">
        <v>658</v>
      </c>
      <c r="N146" s="507">
        <v>575</v>
      </c>
      <c r="O146" s="507">
        <v>474</v>
      </c>
      <c r="P146" s="508">
        <f t="shared" si="266"/>
        <v>0.74967405475880056</v>
      </c>
      <c r="Q146" s="509">
        <f t="shared" si="267"/>
        <v>0.87386018237082064</v>
      </c>
      <c r="R146" s="506">
        <v>834</v>
      </c>
      <c r="S146" s="507">
        <v>827</v>
      </c>
      <c r="T146" s="507">
        <v>717</v>
      </c>
      <c r="U146" s="507">
        <v>613</v>
      </c>
      <c r="V146" s="507">
        <v>487</v>
      </c>
      <c r="W146" s="508">
        <f t="shared" si="248"/>
        <v>0.74123337363966146</v>
      </c>
      <c r="X146" s="509">
        <f t="shared" si="249"/>
        <v>0.8549511854951185</v>
      </c>
      <c r="Y146" s="506">
        <v>702</v>
      </c>
      <c r="Z146" s="507">
        <v>699</v>
      </c>
      <c r="AA146" s="507">
        <v>609</v>
      </c>
      <c r="AB146" s="507">
        <v>525</v>
      </c>
      <c r="AC146" s="507">
        <v>387</v>
      </c>
      <c r="AD146" s="508">
        <f t="shared" si="268"/>
        <v>0.75107296137339052</v>
      </c>
      <c r="AE146" s="509">
        <f t="shared" si="269"/>
        <v>0.86206896551724133</v>
      </c>
      <c r="AF146" s="506">
        <v>644</v>
      </c>
      <c r="AG146" s="507">
        <v>639</v>
      </c>
      <c r="AH146" s="507">
        <v>534</v>
      </c>
      <c r="AI146" s="507">
        <v>453</v>
      </c>
      <c r="AJ146" s="507">
        <v>369</v>
      </c>
      <c r="AK146" s="508">
        <f t="shared" si="270"/>
        <v>0.70892018779342725</v>
      </c>
      <c r="AL146" s="509">
        <f t="shared" si="271"/>
        <v>0.848314606741573</v>
      </c>
      <c r="AM146" s="506">
        <v>541</v>
      </c>
      <c r="AN146" s="507">
        <v>537</v>
      </c>
      <c r="AO146" s="507">
        <v>463</v>
      </c>
      <c r="AP146" s="507">
        <v>387</v>
      </c>
      <c r="AQ146" s="507">
        <v>333</v>
      </c>
      <c r="AR146" s="508">
        <f t="shared" si="272"/>
        <v>0.72067039106145248</v>
      </c>
      <c r="AS146" s="509">
        <f t="shared" si="273"/>
        <v>0.83585313174946008</v>
      </c>
      <c r="AT146" s="506">
        <v>524</v>
      </c>
      <c r="AU146" s="507">
        <v>517</v>
      </c>
      <c r="AV146" s="507">
        <v>438</v>
      </c>
      <c r="AW146" s="507">
        <v>364</v>
      </c>
      <c r="AX146" s="507">
        <v>297</v>
      </c>
      <c r="AY146" s="508">
        <f t="shared" si="274"/>
        <v>0.7040618955512572</v>
      </c>
      <c r="AZ146" s="509">
        <f t="shared" si="275"/>
        <v>0.83105022831050224</v>
      </c>
      <c r="BA146" s="506">
        <v>516</v>
      </c>
      <c r="BB146" s="507">
        <v>475</v>
      </c>
      <c r="BC146" s="507">
        <v>412</v>
      </c>
      <c r="BD146" s="507">
        <v>376</v>
      </c>
      <c r="BE146" s="507">
        <v>306</v>
      </c>
      <c r="BF146" s="508">
        <f t="shared" si="276"/>
        <v>0.79157894736842105</v>
      </c>
      <c r="BG146" s="509">
        <f t="shared" si="277"/>
        <v>0.91262135922330101</v>
      </c>
      <c r="BH146" s="506">
        <v>429</v>
      </c>
      <c r="BI146" s="507">
        <v>397</v>
      </c>
      <c r="BJ146" s="507">
        <v>349</v>
      </c>
      <c r="BK146" s="507">
        <v>305</v>
      </c>
      <c r="BL146" s="507">
        <v>252</v>
      </c>
      <c r="BM146" s="508">
        <f t="shared" si="278"/>
        <v>0.76826196473551633</v>
      </c>
      <c r="BN146" s="509">
        <f t="shared" si="279"/>
        <v>0.87392550143266479</v>
      </c>
      <c r="BO146" s="506">
        <v>396</v>
      </c>
      <c r="BP146" s="507">
        <v>374</v>
      </c>
      <c r="BQ146" s="507">
        <v>306</v>
      </c>
      <c r="BR146" s="507">
        <v>269</v>
      </c>
      <c r="BS146" s="507">
        <v>215</v>
      </c>
      <c r="BT146" s="508">
        <f t="shared" si="280"/>
        <v>0.71925133689839571</v>
      </c>
      <c r="BU146" s="509">
        <f t="shared" si="281"/>
        <v>0.87908496732026142</v>
      </c>
      <c r="BV146" s="506">
        <v>363</v>
      </c>
      <c r="BW146" s="507">
        <v>341</v>
      </c>
      <c r="BX146" s="507">
        <v>295</v>
      </c>
      <c r="BY146" s="507">
        <v>261</v>
      </c>
      <c r="BZ146" s="507">
        <v>214</v>
      </c>
      <c r="CA146" s="508">
        <f t="shared" si="282"/>
        <v>0.76539589442815248</v>
      </c>
      <c r="CB146" s="509">
        <f t="shared" si="283"/>
        <v>0.88474576271186445</v>
      </c>
      <c r="CC146" s="506">
        <v>490</v>
      </c>
      <c r="CD146" s="507">
        <v>427</v>
      </c>
      <c r="CE146" s="507">
        <v>427</v>
      </c>
      <c r="CF146" s="507">
        <v>353</v>
      </c>
      <c r="CG146" s="507">
        <v>287</v>
      </c>
      <c r="CH146" s="508">
        <f t="shared" si="254"/>
        <v>0.82669789227166279</v>
      </c>
      <c r="CI146" s="509">
        <f t="shared" si="255"/>
        <v>0.82669789227166279</v>
      </c>
      <c r="CJ146" s="506">
        <v>782</v>
      </c>
      <c r="CK146" s="507">
        <v>646</v>
      </c>
      <c r="CL146" s="507">
        <v>638</v>
      </c>
      <c r="CM146" s="507">
        <v>616</v>
      </c>
      <c r="CN146" s="507">
        <v>427</v>
      </c>
      <c r="CO146" s="508">
        <f t="shared" si="256"/>
        <v>0.95356037151702788</v>
      </c>
      <c r="CP146" s="508">
        <f t="shared" si="257"/>
        <v>0.96551724137931039</v>
      </c>
      <c r="CQ146" s="508">
        <v>0.95356037151702788</v>
      </c>
      <c r="CR146" s="509">
        <v>0.96551724137931039</v>
      </c>
      <c r="CS146" s="506">
        <v>975</v>
      </c>
      <c r="CT146" s="507">
        <v>754</v>
      </c>
      <c r="CU146" s="507">
        <v>642</v>
      </c>
      <c r="CV146" s="507">
        <v>617</v>
      </c>
      <c r="CW146" s="507">
        <v>496</v>
      </c>
      <c r="CX146" s="508">
        <f t="shared" si="258"/>
        <v>0.8183023872679045</v>
      </c>
      <c r="CY146" s="508">
        <f t="shared" si="259"/>
        <v>0.9610591900311527</v>
      </c>
      <c r="CZ146" s="508">
        <v>0.81962864721485407</v>
      </c>
      <c r="DA146" s="509">
        <v>0.96261682242990654</v>
      </c>
      <c r="DB146" s="506">
        <v>918</v>
      </c>
      <c r="DC146" s="507">
        <v>734</v>
      </c>
      <c r="DD146" s="507">
        <v>600</v>
      </c>
      <c r="DE146" s="507">
        <v>572</v>
      </c>
      <c r="DF146" s="507">
        <v>468</v>
      </c>
      <c r="DG146" s="508">
        <f t="shared" si="260"/>
        <v>0.77929155313351495</v>
      </c>
      <c r="DH146" s="508">
        <f t="shared" si="261"/>
        <v>0.95333333333333337</v>
      </c>
      <c r="DI146" s="508">
        <v>0.77929155313351495</v>
      </c>
      <c r="DJ146" s="509">
        <v>0.95333333333333337</v>
      </c>
      <c r="DK146" s="506">
        <v>1162</v>
      </c>
      <c r="DL146" s="507">
        <v>929</v>
      </c>
      <c r="DM146" s="507">
        <v>806</v>
      </c>
      <c r="DN146" s="507">
        <v>727</v>
      </c>
      <c r="DO146" s="507">
        <v>531</v>
      </c>
      <c r="DP146" s="508">
        <f t="shared" si="262"/>
        <v>0.78256189451022606</v>
      </c>
      <c r="DQ146" s="508">
        <f t="shared" si="263"/>
        <v>0.90198511166253104</v>
      </c>
      <c r="DR146" s="508">
        <v>0.78256189451022606</v>
      </c>
      <c r="DS146" s="509">
        <v>0.90198511166253104</v>
      </c>
      <c r="DT146" s="506">
        <v>1305</v>
      </c>
      <c r="DU146" s="507">
        <v>1024</v>
      </c>
      <c r="DV146" s="507">
        <v>835</v>
      </c>
      <c r="DW146" s="507">
        <v>753</v>
      </c>
      <c r="DX146" s="507">
        <v>566</v>
      </c>
      <c r="DY146" s="508">
        <f t="shared" si="264"/>
        <v>0.7353515625</v>
      </c>
      <c r="DZ146" s="508">
        <f t="shared" si="265"/>
        <v>0.9017964071856287</v>
      </c>
      <c r="EA146" s="508">
        <v>0.7353515625</v>
      </c>
      <c r="EB146" s="509">
        <v>0.9017964071856287</v>
      </c>
    </row>
    <row r="147" spans="1:132" s="2" customFormat="1" x14ac:dyDescent="0.25">
      <c r="A147" s="503" t="s">
        <v>376</v>
      </c>
      <c r="B147" s="504" t="s">
        <v>381</v>
      </c>
      <c r="C147" s="505" t="s">
        <v>287</v>
      </c>
      <c r="D147" s="506">
        <v>1182</v>
      </c>
      <c r="E147" s="507">
        <v>1170</v>
      </c>
      <c r="F147" s="507">
        <v>1097</v>
      </c>
      <c r="G147" s="507">
        <v>1081</v>
      </c>
      <c r="H147" s="507">
        <v>786</v>
      </c>
      <c r="I147" s="508">
        <f t="shared" si="250"/>
        <v>0.92393162393162398</v>
      </c>
      <c r="J147" s="509">
        <f t="shared" si="251"/>
        <v>0.98541476754785784</v>
      </c>
      <c r="K147" s="506">
        <v>1051</v>
      </c>
      <c r="L147" s="507">
        <v>1040</v>
      </c>
      <c r="M147" s="507">
        <v>975</v>
      </c>
      <c r="N147" s="507">
        <v>962</v>
      </c>
      <c r="O147" s="507">
        <v>720</v>
      </c>
      <c r="P147" s="508">
        <f t="shared" si="266"/>
        <v>0.92500000000000004</v>
      </c>
      <c r="Q147" s="509">
        <f t="shared" si="267"/>
        <v>0.98666666666666669</v>
      </c>
      <c r="R147" s="506">
        <v>950</v>
      </c>
      <c r="S147" s="507">
        <v>929</v>
      </c>
      <c r="T147" s="507">
        <v>845</v>
      </c>
      <c r="U147" s="507">
        <v>619</v>
      </c>
      <c r="V147" s="507">
        <v>606</v>
      </c>
      <c r="W147" s="508">
        <f t="shared" si="248"/>
        <v>0.66630785791173308</v>
      </c>
      <c r="X147" s="509">
        <f t="shared" si="249"/>
        <v>0.73254437869822486</v>
      </c>
      <c r="Y147" s="506">
        <v>920</v>
      </c>
      <c r="Z147" s="507">
        <v>904</v>
      </c>
      <c r="AA147" s="507">
        <v>614</v>
      </c>
      <c r="AB147" s="507">
        <v>591</v>
      </c>
      <c r="AC147" s="507">
        <v>570</v>
      </c>
      <c r="AD147" s="508">
        <f t="shared" si="268"/>
        <v>0.65376106194690264</v>
      </c>
      <c r="AE147" s="509">
        <f t="shared" si="269"/>
        <v>0.96254071661237783</v>
      </c>
      <c r="AF147" s="506">
        <v>922</v>
      </c>
      <c r="AG147" s="507">
        <v>902</v>
      </c>
      <c r="AH147" s="507">
        <v>605</v>
      </c>
      <c r="AI147" s="507">
        <v>579</v>
      </c>
      <c r="AJ147" s="507">
        <v>579</v>
      </c>
      <c r="AK147" s="508">
        <f t="shared" si="270"/>
        <v>0.64190687361419074</v>
      </c>
      <c r="AL147" s="509">
        <f t="shared" si="271"/>
        <v>0.95702479338842972</v>
      </c>
      <c r="AM147" s="506">
        <v>718</v>
      </c>
      <c r="AN147" s="507">
        <v>702</v>
      </c>
      <c r="AO147" s="507">
        <v>508</v>
      </c>
      <c r="AP147" s="507">
        <v>486</v>
      </c>
      <c r="AQ147" s="507">
        <v>427</v>
      </c>
      <c r="AR147" s="508">
        <f t="shared" si="272"/>
        <v>0.69230769230769229</v>
      </c>
      <c r="AS147" s="509">
        <f t="shared" si="273"/>
        <v>0.95669291338582674</v>
      </c>
      <c r="AT147" s="506">
        <v>979</v>
      </c>
      <c r="AU147" s="507">
        <v>927</v>
      </c>
      <c r="AV147" s="507">
        <v>916</v>
      </c>
      <c r="AW147" s="507">
        <v>771</v>
      </c>
      <c r="AX147" s="507">
        <v>648</v>
      </c>
      <c r="AY147" s="508">
        <f t="shared" si="274"/>
        <v>0.83171521035598706</v>
      </c>
      <c r="AZ147" s="509">
        <f t="shared" si="275"/>
        <v>0.84170305676855894</v>
      </c>
      <c r="BA147" s="506">
        <v>848</v>
      </c>
      <c r="BB147" s="507">
        <v>798</v>
      </c>
      <c r="BC147" s="507">
        <v>791</v>
      </c>
      <c r="BD147" s="507">
        <v>664</v>
      </c>
      <c r="BE147" s="507">
        <v>559</v>
      </c>
      <c r="BF147" s="508">
        <f t="shared" si="276"/>
        <v>0.83208020050125309</v>
      </c>
      <c r="BG147" s="509">
        <f t="shared" si="277"/>
        <v>0.83944374209860939</v>
      </c>
      <c r="BH147" s="506">
        <v>826</v>
      </c>
      <c r="BI147" s="507">
        <v>759</v>
      </c>
      <c r="BJ147" s="507">
        <v>759</v>
      </c>
      <c r="BK147" s="507">
        <v>631</v>
      </c>
      <c r="BL147" s="507">
        <v>547</v>
      </c>
      <c r="BM147" s="508">
        <f t="shared" si="278"/>
        <v>0.83135704874835314</v>
      </c>
      <c r="BN147" s="509">
        <f t="shared" si="279"/>
        <v>0.83135704874835314</v>
      </c>
      <c r="BO147" s="506">
        <v>735</v>
      </c>
      <c r="BP147" s="507">
        <v>656</v>
      </c>
      <c r="BQ147" s="507">
        <v>656</v>
      </c>
      <c r="BR147" s="507">
        <v>525</v>
      </c>
      <c r="BS147" s="507">
        <v>452</v>
      </c>
      <c r="BT147" s="508">
        <f t="shared" si="280"/>
        <v>0.80030487804878048</v>
      </c>
      <c r="BU147" s="509">
        <f t="shared" si="281"/>
        <v>0.80030487804878048</v>
      </c>
      <c r="BV147" s="506">
        <v>740</v>
      </c>
      <c r="BW147" s="507">
        <v>668</v>
      </c>
      <c r="BX147" s="507">
        <v>668</v>
      </c>
      <c r="BY147" s="507">
        <v>507</v>
      </c>
      <c r="BZ147" s="507">
        <v>449</v>
      </c>
      <c r="CA147" s="508">
        <f t="shared" si="282"/>
        <v>0.75898203592814373</v>
      </c>
      <c r="CB147" s="509">
        <f t="shared" si="283"/>
        <v>0.75898203592814373</v>
      </c>
      <c r="CC147" s="506">
        <v>837</v>
      </c>
      <c r="CD147" s="507">
        <v>773</v>
      </c>
      <c r="CE147" s="507">
        <v>773</v>
      </c>
      <c r="CF147" s="507">
        <v>773</v>
      </c>
      <c r="CG147" s="507">
        <v>568</v>
      </c>
      <c r="CH147" s="508">
        <f t="shared" si="254"/>
        <v>1</v>
      </c>
      <c r="CI147" s="509">
        <f t="shared" si="255"/>
        <v>1</v>
      </c>
      <c r="CJ147" s="506">
        <v>833</v>
      </c>
      <c r="CK147" s="507">
        <v>761</v>
      </c>
      <c r="CL147" s="507">
        <v>756</v>
      </c>
      <c r="CM147" s="507">
        <v>756</v>
      </c>
      <c r="CN147" s="507">
        <v>482</v>
      </c>
      <c r="CO147" s="508">
        <f t="shared" si="256"/>
        <v>0.99342969776609724</v>
      </c>
      <c r="CP147" s="508">
        <f t="shared" si="257"/>
        <v>1</v>
      </c>
      <c r="CQ147" s="508">
        <v>0.99342969776609724</v>
      </c>
      <c r="CR147" s="509">
        <v>1</v>
      </c>
      <c r="CS147" s="506">
        <v>888</v>
      </c>
      <c r="CT147" s="507">
        <v>760</v>
      </c>
      <c r="CU147" s="507">
        <v>635</v>
      </c>
      <c r="CV147" s="507">
        <v>620</v>
      </c>
      <c r="CW147" s="507">
        <v>519</v>
      </c>
      <c r="CX147" s="508">
        <f t="shared" si="258"/>
        <v>0.81578947368421051</v>
      </c>
      <c r="CY147" s="508">
        <f t="shared" si="259"/>
        <v>0.97637795275590555</v>
      </c>
      <c r="CZ147" s="508">
        <v>0.82105263157894737</v>
      </c>
      <c r="DA147" s="509">
        <v>0.9826771653543307</v>
      </c>
      <c r="DB147" s="506">
        <v>977</v>
      </c>
      <c r="DC147" s="507">
        <v>823</v>
      </c>
      <c r="DD147" s="507">
        <v>696</v>
      </c>
      <c r="DE147" s="507">
        <v>646</v>
      </c>
      <c r="DF147" s="507">
        <v>535</v>
      </c>
      <c r="DG147" s="508">
        <f t="shared" si="260"/>
        <v>0.78493317132442286</v>
      </c>
      <c r="DH147" s="508">
        <f t="shared" si="261"/>
        <v>0.92816091954022983</v>
      </c>
      <c r="DI147" s="508">
        <v>0.7995139732685298</v>
      </c>
      <c r="DJ147" s="509">
        <v>0.9454022988505747</v>
      </c>
      <c r="DK147" s="506">
        <v>1034</v>
      </c>
      <c r="DL147" s="507">
        <v>889</v>
      </c>
      <c r="DM147" s="507">
        <v>779</v>
      </c>
      <c r="DN147" s="507">
        <v>751</v>
      </c>
      <c r="DO147" s="507">
        <v>588</v>
      </c>
      <c r="DP147" s="508">
        <f t="shared" si="262"/>
        <v>0.84476940382452193</v>
      </c>
      <c r="DQ147" s="508">
        <f t="shared" si="263"/>
        <v>0.96405648267008981</v>
      </c>
      <c r="DR147" s="508">
        <v>0.85039370078740162</v>
      </c>
      <c r="DS147" s="509">
        <v>0.97047496790757382</v>
      </c>
      <c r="DT147" s="506">
        <v>1061</v>
      </c>
      <c r="DU147" s="507">
        <v>915</v>
      </c>
      <c r="DV147" s="507">
        <v>775</v>
      </c>
      <c r="DW147" s="507">
        <v>744</v>
      </c>
      <c r="DX147" s="507">
        <v>603</v>
      </c>
      <c r="DY147" s="508">
        <f t="shared" si="264"/>
        <v>0.81311475409836065</v>
      </c>
      <c r="DZ147" s="508">
        <f t="shared" si="265"/>
        <v>0.96</v>
      </c>
      <c r="EA147" s="508">
        <v>0.81748633879781418</v>
      </c>
      <c r="EB147" s="509">
        <v>0.96516129032258069</v>
      </c>
    </row>
    <row r="148" spans="1:132" s="2" customFormat="1" x14ac:dyDescent="0.25">
      <c r="A148" s="503" t="s">
        <v>376</v>
      </c>
      <c r="B148" s="504" t="s">
        <v>382</v>
      </c>
      <c r="C148" s="505" t="s">
        <v>355</v>
      </c>
      <c r="D148" s="506">
        <v>1609</v>
      </c>
      <c r="E148" s="507">
        <v>1555</v>
      </c>
      <c r="F148" s="507">
        <v>1553</v>
      </c>
      <c r="G148" s="507">
        <v>1225</v>
      </c>
      <c r="H148" s="507">
        <v>989</v>
      </c>
      <c r="I148" s="508">
        <f t="shared" si="250"/>
        <v>0.78778135048231512</v>
      </c>
      <c r="J148" s="509">
        <f t="shared" si="251"/>
        <v>0.7887958789439794</v>
      </c>
      <c r="K148" s="506">
        <v>1566</v>
      </c>
      <c r="L148" s="507">
        <v>1524</v>
      </c>
      <c r="M148" s="507">
        <v>1524</v>
      </c>
      <c r="N148" s="507">
        <v>1203</v>
      </c>
      <c r="O148" s="507">
        <v>985</v>
      </c>
      <c r="P148" s="508">
        <f t="shared" si="266"/>
        <v>0.78937007874015752</v>
      </c>
      <c r="Q148" s="509">
        <f t="shared" si="267"/>
        <v>0.78937007874015752</v>
      </c>
      <c r="R148" s="506">
        <v>1559</v>
      </c>
      <c r="S148" s="507">
        <v>1482</v>
      </c>
      <c r="T148" s="507">
        <v>1482</v>
      </c>
      <c r="U148" s="507">
        <v>1161</v>
      </c>
      <c r="V148" s="507">
        <v>937</v>
      </c>
      <c r="W148" s="508">
        <f t="shared" si="248"/>
        <v>0.7834008097165992</v>
      </c>
      <c r="X148" s="509">
        <f t="shared" si="249"/>
        <v>0.7834008097165992</v>
      </c>
      <c r="Y148" s="506">
        <v>1532</v>
      </c>
      <c r="Z148" s="507">
        <v>1493</v>
      </c>
      <c r="AA148" s="507">
        <v>1485</v>
      </c>
      <c r="AB148" s="507">
        <v>1094</v>
      </c>
      <c r="AC148" s="507">
        <v>885</v>
      </c>
      <c r="AD148" s="508">
        <f t="shared" si="268"/>
        <v>0.73275284661754858</v>
      </c>
      <c r="AE148" s="509">
        <f t="shared" si="269"/>
        <v>0.73670033670033674</v>
      </c>
      <c r="AF148" s="506">
        <v>1459</v>
      </c>
      <c r="AG148" s="507">
        <v>1389</v>
      </c>
      <c r="AH148" s="507">
        <v>1380</v>
      </c>
      <c r="AI148" s="507">
        <v>1063</v>
      </c>
      <c r="AJ148" s="507">
        <v>905</v>
      </c>
      <c r="AK148" s="508">
        <f t="shared" si="270"/>
        <v>0.76529877609791219</v>
      </c>
      <c r="AL148" s="509">
        <f t="shared" si="271"/>
        <v>0.77028985507246372</v>
      </c>
      <c r="AM148" s="506">
        <v>1226</v>
      </c>
      <c r="AN148" s="507">
        <v>1174</v>
      </c>
      <c r="AO148" s="507">
        <v>1164</v>
      </c>
      <c r="AP148" s="507">
        <v>886</v>
      </c>
      <c r="AQ148" s="507">
        <v>746</v>
      </c>
      <c r="AR148" s="508">
        <f t="shared" si="272"/>
        <v>0.75468483816013632</v>
      </c>
      <c r="AS148" s="509">
        <f t="shared" si="273"/>
        <v>0.76116838487972505</v>
      </c>
      <c r="AT148" s="506">
        <v>1181</v>
      </c>
      <c r="AU148" s="507">
        <v>1144</v>
      </c>
      <c r="AV148" s="507">
        <v>1125</v>
      </c>
      <c r="AW148" s="507">
        <v>892</v>
      </c>
      <c r="AX148" s="507">
        <v>739</v>
      </c>
      <c r="AY148" s="508">
        <f t="shared" si="274"/>
        <v>0.77972027972027969</v>
      </c>
      <c r="AZ148" s="509">
        <f t="shared" si="275"/>
        <v>0.79288888888888887</v>
      </c>
      <c r="BA148" s="506">
        <v>983</v>
      </c>
      <c r="BB148" s="507">
        <v>927</v>
      </c>
      <c r="BC148" s="507">
        <v>918</v>
      </c>
      <c r="BD148" s="507">
        <v>716</v>
      </c>
      <c r="BE148" s="507">
        <v>616</v>
      </c>
      <c r="BF148" s="508">
        <f t="shared" si="276"/>
        <v>0.77238403451995685</v>
      </c>
      <c r="BG148" s="509">
        <f t="shared" si="277"/>
        <v>0.77995642701525059</v>
      </c>
      <c r="BH148" s="506">
        <v>938</v>
      </c>
      <c r="BI148" s="507">
        <v>877</v>
      </c>
      <c r="BJ148" s="507">
        <v>870</v>
      </c>
      <c r="BK148" s="507">
        <v>673</v>
      </c>
      <c r="BL148" s="507">
        <v>584</v>
      </c>
      <c r="BM148" s="508">
        <f t="shared" si="278"/>
        <v>0.76738882554161914</v>
      </c>
      <c r="BN148" s="509">
        <f t="shared" si="279"/>
        <v>0.77356321839080455</v>
      </c>
      <c r="BO148" s="506">
        <v>896</v>
      </c>
      <c r="BP148" s="507">
        <v>831</v>
      </c>
      <c r="BQ148" s="507">
        <v>831</v>
      </c>
      <c r="BR148" s="507">
        <v>616</v>
      </c>
      <c r="BS148" s="507">
        <v>537</v>
      </c>
      <c r="BT148" s="508">
        <f t="shared" si="280"/>
        <v>0.7412755716004813</v>
      </c>
      <c r="BU148" s="509">
        <f t="shared" si="281"/>
        <v>0.7412755716004813</v>
      </c>
      <c r="BV148" s="506">
        <v>1000</v>
      </c>
      <c r="BW148" s="507">
        <v>889</v>
      </c>
      <c r="BX148" s="507">
        <v>889</v>
      </c>
      <c r="BY148" s="507">
        <v>631</v>
      </c>
      <c r="BZ148" s="507">
        <v>553</v>
      </c>
      <c r="CA148" s="508">
        <f t="shared" si="282"/>
        <v>0.70978627671541061</v>
      </c>
      <c r="CB148" s="509">
        <f t="shared" si="283"/>
        <v>0.70978627671541061</v>
      </c>
      <c r="CC148" s="506">
        <v>1187</v>
      </c>
      <c r="CD148" s="507">
        <v>1004</v>
      </c>
      <c r="CE148" s="507">
        <v>1004</v>
      </c>
      <c r="CF148" s="507">
        <v>973</v>
      </c>
      <c r="CG148" s="507">
        <v>718</v>
      </c>
      <c r="CH148" s="508">
        <f t="shared" si="254"/>
        <v>0.96912350597609564</v>
      </c>
      <c r="CI148" s="509">
        <f t="shared" si="255"/>
        <v>0.96912350597609564</v>
      </c>
      <c r="CJ148" s="506">
        <v>1367</v>
      </c>
      <c r="CK148" s="507">
        <v>1081</v>
      </c>
      <c r="CL148" s="507">
        <v>885</v>
      </c>
      <c r="CM148" s="507">
        <v>865</v>
      </c>
      <c r="CN148" s="507">
        <v>699</v>
      </c>
      <c r="CO148" s="508">
        <f t="shared" si="256"/>
        <v>0.80018501387604068</v>
      </c>
      <c r="CP148" s="508">
        <f t="shared" si="257"/>
        <v>0.97740112994350281</v>
      </c>
      <c r="CQ148" s="508">
        <v>0.80018501387604068</v>
      </c>
      <c r="CR148" s="509">
        <v>0.97740112994350281</v>
      </c>
      <c r="CS148" s="506">
        <v>1254</v>
      </c>
      <c r="CT148" s="507">
        <v>1052</v>
      </c>
      <c r="CU148" s="507">
        <v>853</v>
      </c>
      <c r="CV148" s="507">
        <v>842</v>
      </c>
      <c r="CW148" s="507">
        <v>683</v>
      </c>
      <c r="CX148" s="508">
        <f t="shared" si="258"/>
        <v>0.80038022813688214</v>
      </c>
      <c r="CY148" s="508">
        <f t="shared" si="259"/>
        <v>0.98710433763188743</v>
      </c>
      <c r="CZ148" s="508">
        <v>0.80038022813688214</v>
      </c>
      <c r="DA148" s="509">
        <v>0.98710433763188743</v>
      </c>
      <c r="DB148" s="506">
        <v>1598</v>
      </c>
      <c r="DC148" s="507">
        <v>1283</v>
      </c>
      <c r="DD148" s="507">
        <v>1053</v>
      </c>
      <c r="DE148" s="507">
        <v>1039</v>
      </c>
      <c r="DF148" s="507">
        <v>846</v>
      </c>
      <c r="DG148" s="508">
        <f t="shared" si="260"/>
        <v>0.80982073265783316</v>
      </c>
      <c r="DH148" s="508">
        <f t="shared" si="261"/>
        <v>0.98670465337132007</v>
      </c>
      <c r="DI148" s="508">
        <v>0.80982073265783316</v>
      </c>
      <c r="DJ148" s="509">
        <v>0.98670465337132007</v>
      </c>
      <c r="DK148" s="506">
        <v>1786</v>
      </c>
      <c r="DL148" s="507">
        <v>1442</v>
      </c>
      <c r="DM148" s="507">
        <v>1218</v>
      </c>
      <c r="DN148" s="507">
        <v>1206</v>
      </c>
      <c r="DO148" s="507">
        <v>965</v>
      </c>
      <c r="DP148" s="508">
        <f t="shared" si="262"/>
        <v>0.83633841886269067</v>
      </c>
      <c r="DQ148" s="508">
        <f t="shared" si="263"/>
        <v>0.99014778325123154</v>
      </c>
      <c r="DR148" s="508">
        <v>0.83633841886269067</v>
      </c>
      <c r="DS148" s="509">
        <v>0.99014778325123154</v>
      </c>
      <c r="DT148" s="506">
        <v>2001</v>
      </c>
      <c r="DU148" s="507">
        <v>1606</v>
      </c>
      <c r="DV148" s="507">
        <v>1606</v>
      </c>
      <c r="DW148" s="507">
        <v>1264</v>
      </c>
      <c r="DX148" s="507">
        <v>1018</v>
      </c>
      <c r="DY148" s="508">
        <f t="shared" si="264"/>
        <v>0.78704856787048572</v>
      </c>
      <c r="DZ148" s="508">
        <f t="shared" si="265"/>
        <v>0.78704856787048572</v>
      </c>
      <c r="EA148" s="508">
        <v>0.97571606475716066</v>
      </c>
      <c r="EB148" s="509">
        <v>0.97571606475716066</v>
      </c>
    </row>
    <row r="149" spans="1:132" s="2" customFormat="1" x14ac:dyDescent="0.25">
      <c r="A149" s="503" t="s">
        <v>376</v>
      </c>
      <c r="B149" s="504" t="s">
        <v>383</v>
      </c>
      <c r="C149" s="505" t="s">
        <v>384</v>
      </c>
      <c r="D149" s="506">
        <v>1694</v>
      </c>
      <c r="E149" s="507">
        <v>1625</v>
      </c>
      <c r="F149" s="507">
        <v>1605</v>
      </c>
      <c r="G149" s="507">
        <v>1248</v>
      </c>
      <c r="H149" s="507">
        <v>1057</v>
      </c>
      <c r="I149" s="508">
        <f t="shared" si="250"/>
        <v>0.76800000000000002</v>
      </c>
      <c r="J149" s="509">
        <f t="shared" si="251"/>
        <v>0.77757009345794392</v>
      </c>
      <c r="K149" s="506">
        <v>1628</v>
      </c>
      <c r="L149" s="507">
        <v>1575</v>
      </c>
      <c r="M149" s="507">
        <v>1559</v>
      </c>
      <c r="N149" s="507">
        <v>1248</v>
      </c>
      <c r="O149" s="507">
        <v>1072</v>
      </c>
      <c r="P149" s="508">
        <f t="shared" si="266"/>
        <v>0.79238095238095241</v>
      </c>
      <c r="Q149" s="509">
        <f t="shared" si="267"/>
        <v>0.80051314945477869</v>
      </c>
      <c r="R149" s="506">
        <v>1451</v>
      </c>
      <c r="S149" s="507">
        <v>1377</v>
      </c>
      <c r="T149" s="507">
        <v>1365</v>
      </c>
      <c r="U149" s="507">
        <v>1147</v>
      </c>
      <c r="V149" s="507">
        <v>979</v>
      </c>
      <c r="W149" s="508">
        <f t="shared" si="248"/>
        <v>0.83297022512708785</v>
      </c>
      <c r="X149" s="509">
        <f t="shared" si="249"/>
        <v>0.84029304029304031</v>
      </c>
      <c r="Y149" s="506">
        <v>1602</v>
      </c>
      <c r="Z149" s="507">
        <v>1527</v>
      </c>
      <c r="AA149" s="507">
        <v>1505</v>
      </c>
      <c r="AB149" s="507">
        <v>1357</v>
      </c>
      <c r="AC149" s="507">
        <v>1163</v>
      </c>
      <c r="AD149" s="508">
        <f t="shared" si="268"/>
        <v>0.88867059593975117</v>
      </c>
      <c r="AE149" s="509">
        <f t="shared" si="269"/>
        <v>0.90166112956810629</v>
      </c>
      <c r="AF149" s="506">
        <v>1420</v>
      </c>
      <c r="AG149" s="507">
        <v>1365</v>
      </c>
      <c r="AH149" s="507">
        <v>1355</v>
      </c>
      <c r="AI149" s="507">
        <v>1192</v>
      </c>
      <c r="AJ149" s="507">
        <v>1019</v>
      </c>
      <c r="AK149" s="508">
        <f t="shared" si="270"/>
        <v>0.87326007326007327</v>
      </c>
      <c r="AL149" s="509">
        <f t="shared" si="271"/>
        <v>0.87970479704797044</v>
      </c>
      <c r="AM149" s="506">
        <v>1132</v>
      </c>
      <c r="AN149" s="507">
        <v>1092</v>
      </c>
      <c r="AO149" s="507">
        <v>1092</v>
      </c>
      <c r="AP149" s="507">
        <v>1012</v>
      </c>
      <c r="AQ149" s="507">
        <v>874</v>
      </c>
      <c r="AR149" s="508">
        <f t="shared" si="272"/>
        <v>0.92673992673992678</v>
      </c>
      <c r="AS149" s="509">
        <f t="shared" si="273"/>
        <v>0.92673992673992678</v>
      </c>
      <c r="AT149" s="506">
        <v>791</v>
      </c>
      <c r="AU149" s="507">
        <v>754</v>
      </c>
      <c r="AV149" s="507">
        <v>753</v>
      </c>
      <c r="AW149" s="507">
        <v>685</v>
      </c>
      <c r="AX149" s="507">
        <v>590</v>
      </c>
      <c r="AY149" s="508">
        <f t="shared" si="274"/>
        <v>0.90848806366047741</v>
      </c>
      <c r="AZ149" s="509">
        <f t="shared" si="275"/>
        <v>0.90969455511288178</v>
      </c>
      <c r="BA149" s="506">
        <v>680</v>
      </c>
      <c r="BB149" s="507">
        <v>637</v>
      </c>
      <c r="BC149" s="507">
        <v>637</v>
      </c>
      <c r="BD149" s="507">
        <v>586</v>
      </c>
      <c r="BE149" s="507">
        <v>497</v>
      </c>
      <c r="BF149" s="508">
        <f t="shared" si="276"/>
        <v>0.9199372056514914</v>
      </c>
      <c r="BG149" s="509">
        <f t="shared" si="277"/>
        <v>0.9199372056514914</v>
      </c>
      <c r="BH149" s="506">
        <v>520</v>
      </c>
      <c r="BI149" s="507">
        <v>501</v>
      </c>
      <c r="BJ149" s="507">
        <v>501</v>
      </c>
      <c r="BK149" s="507">
        <v>474</v>
      </c>
      <c r="BL149" s="507">
        <v>434</v>
      </c>
      <c r="BM149" s="508">
        <f t="shared" si="278"/>
        <v>0.94610778443113774</v>
      </c>
      <c r="BN149" s="509">
        <f t="shared" si="279"/>
        <v>0.94610778443113774</v>
      </c>
      <c r="BO149" s="506">
        <v>478</v>
      </c>
      <c r="BP149" s="507">
        <v>460</v>
      </c>
      <c r="BQ149" s="507">
        <v>460</v>
      </c>
      <c r="BR149" s="507">
        <v>394</v>
      </c>
      <c r="BS149" s="507">
        <v>340</v>
      </c>
      <c r="BT149" s="508">
        <f t="shared" si="280"/>
        <v>0.85652173913043483</v>
      </c>
      <c r="BU149" s="509">
        <f t="shared" si="281"/>
        <v>0.85652173913043483</v>
      </c>
      <c r="BV149" s="506">
        <v>382</v>
      </c>
      <c r="BW149" s="507">
        <v>368</v>
      </c>
      <c r="BX149" s="507">
        <v>367</v>
      </c>
      <c r="BY149" s="507">
        <v>330</v>
      </c>
      <c r="BZ149" s="507">
        <v>285</v>
      </c>
      <c r="CA149" s="508">
        <f t="shared" si="282"/>
        <v>0.89673913043478259</v>
      </c>
      <c r="CB149" s="509">
        <f t="shared" si="283"/>
        <v>0.89918256130790186</v>
      </c>
      <c r="CC149" s="506">
        <v>469</v>
      </c>
      <c r="CD149" s="507">
        <v>414</v>
      </c>
      <c r="CE149" s="507">
        <v>414</v>
      </c>
      <c r="CF149" s="507">
        <v>379</v>
      </c>
      <c r="CG149" s="507">
        <v>334</v>
      </c>
      <c r="CH149" s="508">
        <f t="shared" si="254"/>
        <v>0.91545893719806759</v>
      </c>
      <c r="CI149" s="509">
        <f t="shared" si="255"/>
        <v>0.91545893719806759</v>
      </c>
      <c r="CJ149" s="506">
        <v>540</v>
      </c>
      <c r="CK149" s="507">
        <v>499</v>
      </c>
      <c r="CL149" s="507">
        <v>486</v>
      </c>
      <c r="CM149" s="507">
        <v>481</v>
      </c>
      <c r="CN149" s="507">
        <v>393</v>
      </c>
      <c r="CO149" s="508">
        <f t="shared" si="256"/>
        <v>0.96392785571142281</v>
      </c>
      <c r="CP149" s="508">
        <f t="shared" si="257"/>
        <v>0.98971193415637859</v>
      </c>
      <c r="CQ149" s="508">
        <v>0.96392785571142281</v>
      </c>
      <c r="CR149" s="509">
        <v>0.98971193415637859</v>
      </c>
      <c r="CS149" s="506">
        <v>649</v>
      </c>
      <c r="CT149" s="507">
        <v>589</v>
      </c>
      <c r="CU149" s="507">
        <v>543</v>
      </c>
      <c r="CV149" s="507">
        <v>534</v>
      </c>
      <c r="CW149" s="507">
        <v>488</v>
      </c>
      <c r="CX149" s="508">
        <f t="shared" si="258"/>
        <v>0.90662139219015281</v>
      </c>
      <c r="CY149" s="508">
        <f t="shared" si="259"/>
        <v>0.98342541436464093</v>
      </c>
      <c r="CZ149" s="508">
        <v>0.90662139219015281</v>
      </c>
      <c r="DA149" s="509">
        <v>0.98342541436464093</v>
      </c>
      <c r="DB149" s="506">
        <v>782</v>
      </c>
      <c r="DC149" s="507">
        <v>691</v>
      </c>
      <c r="DD149" s="507">
        <v>627</v>
      </c>
      <c r="DE149" s="507">
        <v>611</v>
      </c>
      <c r="DF149" s="507">
        <v>539</v>
      </c>
      <c r="DG149" s="508">
        <f t="shared" si="260"/>
        <v>0.88422575976845152</v>
      </c>
      <c r="DH149" s="508">
        <f t="shared" si="261"/>
        <v>0.97448165869218506</v>
      </c>
      <c r="DI149" s="508">
        <v>0.88422575976845152</v>
      </c>
      <c r="DJ149" s="509">
        <v>0.97448165869218506</v>
      </c>
      <c r="DK149" s="506">
        <v>880</v>
      </c>
      <c r="DL149" s="507">
        <v>777</v>
      </c>
      <c r="DM149" s="507">
        <v>711</v>
      </c>
      <c r="DN149" s="507">
        <v>691</v>
      </c>
      <c r="DO149" s="507">
        <v>578</v>
      </c>
      <c r="DP149" s="508">
        <f t="shared" si="262"/>
        <v>0.88931788931788935</v>
      </c>
      <c r="DQ149" s="508">
        <f t="shared" si="263"/>
        <v>0.97187060478199716</v>
      </c>
      <c r="DR149" s="508">
        <v>0.88931788931788935</v>
      </c>
      <c r="DS149" s="509">
        <v>0.97187060478199716</v>
      </c>
      <c r="DT149" s="506">
        <v>828</v>
      </c>
      <c r="DU149" s="507">
        <v>711</v>
      </c>
      <c r="DV149" s="507">
        <v>711</v>
      </c>
      <c r="DW149" s="507">
        <v>635</v>
      </c>
      <c r="DX149" s="507">
        <v>511</v>
      </c>
      <c r="DY149" s="508">
        <f t="shared" si="264"/>
        <v>0.89310829817158932</v>
      </c>
      <c r="DZ149" s="508">
        <f t="shared" si="265"/>
        <v>0.89310829817158932</v>
      </c>
      <c r="EA149" s="508">
        <v>0.96483825597749651</v>
      </c>
      <c r="EB149" s="509">
        <v>0.96483825597749651</v>
      </c>
    </row>
    <row r="150" spans="1:132" s="2" customFormat="1" x14ac:dyDescent="0.25">
      <c r="A150" s="503" t="s">
        <v>376</v>
      </c>
      <c r="B150" s="504" t="s">
        <v>385</v>
      </c>
      <c r="C150" s="505" t="s">
        <v>386</v>
      </c>
      <c r="D150" s="506">
        <v>848</v>
      </c>
      <c r="E150" s="507">
        <v>829</v>
      </c>
      <c r="F150" s="507">
        <v>825</v>
      </c>
      <c r="G150" s="507">
        <v>803</v>
      </c>
      <c r="H150" s="507">
        <v>665</v>
      </c>
      <c r="I150" s="508">
        <f t="shared" si="250"/>
        <v>0.96863691194209889</v>
      </c>
      <c r="J150" s="509">
        <f t="shared" si="251"/>
        <v>0.97333333333333338</v>
      </c>
      <c r="K150" s="506">
        <v>990</v>
      </c>
      <c r="L150" s="507">
        <v>961</v>
      </c>
      <c r="M150" s="507">
        <v>957</v>
      </c>
      <c r="N150" s="507">
        <v>931</v>
      </c>
      <c r="O150" s="507">
        <v>797</v>
      </c>
      <c r="P150" s="508">
        <f t="shared" si="266"/>
        <v>0.96878251821019767</v>
      </c>
      <c r="Q150" s="509">
        <f t="shared" si="267"/>
        <v>0.97283176593521425</v>
      </c>
      <c r="R150" s="506">
        <v>913</v>
      </c>
      <c r="S150" s="507">
        <v>873</v>
      </c>
      <c r="T150" s="507">
        <v>873</v>
      </c>
      <c r="U150" s="507">
        <v>833</v>
      </c>
      <c r="V150" s="507">
        <v>689</v>
      </c>
      <c r="W150" s="508">
        <f t="shared" si="248"/>
        <v>0.95418098510882021</v>
      </c>
      <c r="X150" s="509">
        <f t="shared" si="249"/>
        <v>0.95418098510882021</v>
      </c>
      <c r="Y150" s="506">
        <v>1298</v>
      </c>
      <c r="Z150" s="507">
        <v>1243</v>
      </c>
      <c r="AA150" s="507">
        <v>1241</v>
      </c>
      <c r="AB150" s="507">
        <v>832</v>
      </c>
      <c r="AC150" s="507">
        <v>717</v>
      </c>
      <c r="AD150" s="508">
        <f t="shared" si="268"/>
        <v>0.66934835076428001</v>
      </c>
      <c r="AE150" s="509">
        <f t="shared" si="269"/>
        <v>0.67042707493956488</v>
      </c>
      <c r="AF150" s="506">
        <v>1024</v>
      </c>
      <c r="AG150" s="507">
        <v>991</v>
      </c>
      <c r="AH150" s="507">
        <v>990</v>
      </c>
      <c r="AI150" s="507">
        <v>769</v>
      </c>
      <c r="AJ150" s="507">
        <v>678</v>
      </c>
      <c r="AK150" s="508">
        <f t="shared" si="270"/>
        <v>0.77598385469223008</v>
      </c>
      <c r="AL150" s="509">
        <f t="shared" si="271"/>
        <v>0.77676767676767677</v>
      </c>
      <c r="AM150" s="506">
        <v>693</v>
      </c>
      <c r="AN150" s="507">
        <v>672</v>
      </c>
      <c r="AO150" s="507">
        <v>672</v>
      </c>
      <c r="AP150" s="507">
        <v>602</v>
      </c>
      <c r="AQ150" s="507">
        <v>541</v>
      </c>
      <c r="AR150" s="508">
        <f t="shared" si="272"/>
        <v>0.89583333333333337</v>
      </c>
      <c r="AS150" s="509">
        <f t="shared" si="273"/>
        <v>0.89583333333333337</v>
      </c>
      <c r="AT150" s="506">
        <v>615</v>
      </c>
      <c r="AU150" s="507">
        <v>596</v>
      </c>
      <c r="AV150" s="507">
        <v>594</v>
      </c>
      <c r="AW150" s="507">
        <v>513</v>
      </c>
      <c r="AX150" s="507">
        <v>441</v>
      </c>
      <c r="AY150" s="508">
        <f t="shared" si="274"/>
        <v>0.86073825503355705</v>
      </c>
      <c r="AZ150" s="509">
        <f t="shared" si="275"/>
        <v>0.86363636363636365</v>
      </c>
      <c r="BA150" s="506">
        <v>471</v>
      </c>
      <c r="BB150" s="507">
        <v>448</v>
      </c>
      <c r="BC150" s="507">
        <v>445</v>
      </c>
      <c r="BD150" s="507">
        <v>397</v>
      </c>
      <c r="BE150" s="507">
        <v>332</v>
      </c>
      <c r="BF150" s="508">
        <f t="shared" si="276"/>
        <v>0.8861607142857143</v>
      </c>
      <c r="BG150" s="509">
        <f t="shared" si="277"/>
        <v>0.89213483146067418</v>
      </c>
      <c r="BH150" s="506">
        <v>425</v>
      </c>
      <c r="BI150" s="507">
        <v>404</v>
      </c>
      <c r="BJ150" s="507">
        <v>404</v>
      </c>
      <c r="BK150" s="507">
        <v>351</v>
      </c>
      <c r="BL150" s="507">
        <v>283</v>
      </c>
      <c r="BM150" s="508">
        <f t="shared" si="278"/>
        <v>0.86881188118811881</v>
      </c>
      <c r="BN150" s="509">
        <f t="shared" si="279"/>
        <v>0.86881188118811881</v>
      </c>
      <c r="BO150" s="506">
        <v>379</v>
      </c>
      <c r="BP150" s="507">
        <v>363</v>
      </c>
      <c r="BQ150" s="507">
        <v>363</v>
      </c>
      <c r="BR150" s="507">
        <v>316</v>
      </c>
      <c r="BS150" s="507">
        <v>276</v>
      </c>
      <c r="BT150" s="508">
        <f t="shared" si="280"/>
        <v>0.87052341597796146</v>
      </c>
      <c r="BU150" s="509">
        <f t="shared" si="281"/>
        <v>0.87052341597796146</v>
      </c>
      <c r="BV150" s="506">
        <v>445</v>
      </c>
      <c r="BW150" s="507">
        <v>423</v>
      </c>
      <c r="BX150" s="507">
        <v>423</v>
      </c>
      <c r="BY150" s="507">
        <v>367</v>
      </c>
      <c r="BZ150" s="507">
        <v>317</v>
      </c>
      <c r="CA150" s="508">
        <f t="shared" si="282"/>
        <v>0.86761229314420807</v>
      </c>
      <c r="CB150" s="509">
        <f t="shared" si="283"/>
        <v>0.86761229314420807</v>
      </c>
      <c r="CC150" s="506">
        <v>343</v>
      </c>
      <c r="CD150" s="507">
        <v>306</v>
      </c>
      <c r="CE150" s="507">
        <v>283</v>
      </c>
      <c r="CF150" s="507">
        <v>271</v>
      </c>
      <c r="CG150" s="507">
        <v>215</v>
      </c>
      <c r="CH150" s="508">
        <f t="shared" si="254"/>
        <v>0.8856209150326797</v>
      </c>
      <c r="CI150" s="509">
        <f t="shared" si="255"/>
        <v>0.95759717314487636</v>
      </c>
      <c r="CJ150" s="506">
        <v>318</v>
      </c>
      <c r="CK150" s="507">
        <v>296</v>
      </c>
      <c r="CL150" s="507">
        <v>294</v>
      </c>
      <c r="CM150" s="507">
        <v>281</v>
      </c>
      <c r="CN150" s="507">
        <v>203</v>
      </c>
      <c r="CO150" s="508">
        <f t="shared" si="256"/>
        <v>0.94932432432432434</v>
      </c>
      <c r="CP150" s="508">
        <f t="shared" si="257"/>
        <v>0.95578231292517002</v>
      </c>
      <c r="CQ150" s="508">
        <v>0.97972972972972971</v>
      </c>
      <c r="CR150" s="509">
        <v>0.98639455782312924</v>
      </c>
      <c r="CS150" s="506">
        <v>388</v>
      </c>
      <c r="CT150" s="507">
        <v>344</v>
      </c>
      <c r="CU150" s="507">
        <v>341</v>
      </c>
      <c r="CV150" s="507">
        <v>287</v>
      </c>
      <c r="CW150" s="507">
        <v>205</v>
      </c>
      <c r="CX150" s="508">
        <f t="shared" si="258"/>
        <v>0.83430232558139539</v>
      </c>
      <c r="CY150" s="508">
        <f t="shared" si="259"/>
        <v>0.84164222873900296</v>
      </c>
      <c r="CZ150" s="508">
        <v>0.96802325581395354</v>
      </c>
      <c r="DA150" s="509">
        <v>0.97653958944281527</v>
      </c>
      <c r="DB150" s="506">
        <v>345</v>
      </c>
      <c r="DC150" s="507">
        <v>302</v>
      </c>
      <c r="DD150" s="507">
        <v>302</v>
      </c>
      <c r="DE150" s="507">
        <v>269</v>
      </c>
      <c r="DF150" s="507">
        <v>200</v>
      </c>
      <c r="DG150" s="508">
        <f t="shared" si="260"/>
        <v>0.89072847682119205</v>
      </c>
      <c r="DH150" s="508">
        <f t="shared" si="261"/>
        <v>0.89072847682119205</v>
      </c>
      <c r="DI150" s="508">
        <v>0.99668874172185429</v>
      </c>
      <c r="DJ150" s="509">
        <v>0.99668874172185429</v>
      </c>
      <c r="DK150" s="506">
        <v>457</v>
      </c>
      <c r="DL150" s="507">
        <v>410</v>
      </c>
      <c r="DM150" s="507">
        <v>408</v>
      </c>
      <c r="DN150" s="507">
        <v>369</v>
      </c>
      <c r="DO150" s="507">
        <v>283</v>
      </c>
      <c r="DP150" s="508">
        <f t="shared" si="262"/>
        <v>0.9</v>
      </c>
      <c r="DQ150" s="508">
        <f t="shared" si="263"/>
        <v>0.90441176470588236</v>
      </c>
      <c r="DR150" s="508">
        <v>0.98536585365853657</v>
      </c>
      <c r="DS150" s="509">
        <v>0.99019607843137258</v>
      </c>
      <c r="DT150" s="506">
        <v>556</v>
      </c>
      <c r="DU150" s="507">
        <v>479</v>
      </c>
      <c r="DV150" s="507">
        <v>421</v>
      </c>
      <c r="DW150" s="507">
        <v>416</v>
      </c>
      <c r="DX150" s="507">
        <v>324</v>
      </c>
      <c r="DY150" s="508">
        <f t="shared" si="264"/>
        <v>0.86847599164926936</v>
      </c>
      <c r="DZ150" s="508">
        <f t="shared" si="265"/>
        <v>0.98812351543942989</v>
      </c>
      <c r="EA150" s="508">
        <v>0.87056367432150317</v>
      </c>
      <c r="EB150" s="509">
        <v>0.99049881235154391</v>
      </c>
    </row>
    <row r="151" spans="1:132" s="2" customFormat="1" x14ac:dyDescent="0.25">
      <c r="A151" s="557" t="s">
        <v>376</v>
      </c>
      <c r="B151" s="526" t="s">
        <v>387</v>
      </c>
      <c r="C151" s="527" t="s">
        <v>195</v>
      </c>
      <c r="D151" s="506">
        <v>4195</v>
      </c>
      <c r="E151" s="507">
        <v>3980</v>
      </c>
      <c r="F151" s="507">
        <v>3980</v>
      </c>
      <c r="G151" s="507">
        <v>3017</v>
      </c>
      <c r="H151" s="507">
        <v>2127</v>
      </c>
      <c r="I151" s="508">
        <f t="shared" si="250"/>
        <v>0.75804020100502512</v>
      </c>
      <c r="J151" s="509">
        <f t="shared" si="251"/>
        <v>0.75804020100502512</v>
      </c>
      <c r="K151" s="506">
        <v>4158</v>
      </c>
      <c r="L151" s="507">
        <v>3916</v>
      </c>
      <c r="M151" s="507">
        <v>3916</v>
      </c>
      <c r="N151" s="507">
        <v>2449</v>
      </c>
      <c r="O151" s="507">
        <v>1545</v>
      </c>
      <c r="P151" s="508">
        <f t="shared" si="266"/>
        <v>0.62538304392236976</v>
      </c>
      <c r="Q151" s="509">
        <f t="shared" si="267"/>
        <v>0.62538304392236976</v>
      </c>
      <c r="R151" s="506">
        <v>3808</v>
      </c>
      <c r="S151" s="507">
        <v>3568</v>
      </c>
      <c r="T151" s="507">
        <v>3568</v>
      </c>
      <c r="U151" s="507">
        <v>1743</v>
      </c>
      <c r="V151" s="507">
        <v>1627</v>
      </c>
      <c r="W151" s="508">
        <f t="shared" si="248"/>
        <v>0.48850896860986548</v>
      </c>
      <c r="X151" s="509">
        <f t="shared" si="249"/>
        <v>0.48850896860986548</v>
      </c>
      <c r="Y151" s="506">
        <v>3208</v>
      </c>
      <c r="Z151" s="507">
        <v>3091</v>
      </c>
      <c r="AA151" s="507">
        <v>3091</v>
      </c>
      <c r="AB151" s="507">
        <v>1690</v>
      </c>
      <c r="AC151" s="507">
        <v>1559</v>
      </c>
      <c r="AD151" s="508">
        <f t="shared" si="268"/>
        <v>0.54674862504043997</v>
      </c>
      <c r="AE151" s="509">
        <f t="shared" si="269"/>
        <v>0.54674862504043997</v>
      </c>
      <c r="AF151" s="506">
        <v>2386</v>
      </c>
      <c r="AG151" s="507">
        <v>2342</v>
      </c>
      <c r="AH151" s="507">
        <v>2342</v>
      </c>
      <c r="AI151" s="507">
        <v>1872</v>
      </c>
      <c r="AJ151" s="507">
        <v>1173</v>
      </c>
      <c r="AK151" s="508">
        <f t="shared" si="270"/>
        <v>0.79931682322801023</v>
      </c>
      <c r="AL151" s="509">
        <f t="shared" si="271"/>
        <v>0.79931682322801023</v>
      </c>
      <c r="AM151" s="506">
        <v>2077</v>
      </c>
      <c r="AN151" s="507">
        <v>2027</v>
      </c>
      <c r="AO151" s="507">
        <v>1876</v>
      </c>
      <c r="AP151" s="507">
        <v>1363</v>
      </c>
      <c r="AQ151" s="507">
        <v>1218</v>
      </c>
      <c r="AR151" s="508">
        <f t="shared" si="272"/>
        <v>0.6724222989639862</v>
      </c>
      <c r="AS151" s="509">
        <f t="shared" si="273"/>
        <v>0.72654584221748397</v>
      </c>
      <c r="AT151" s="506">
        <v>1665</v>
      </c>
      <c r="AU151" s="507">
        <v>1630</v>
      </c>
      <c r="AV151" s="507">
        <v>1515</v>
      </c>
      <c r="AW151" s="507">
        <v>1199</v>
      </c>
      <c r="AX151" s="507">
        <v>1107</v>
      </c>
      <c r="AY151" s="508">
        <f t="shared" si="274"/>
        <v>0.73558282208588954</v>
      </c>
      <c r="AZ151" s="509">
        <f t="shared" si="275"/>
        <v>0.79141914191419138</v>
      </c>
      <c r="BA151" s="506">
        <v>1396</v>
      </c>
      <c r="BB151" s="507">
        <v>1368</v>
      </c>
      <c r="BC151" s="507">
        <v>1302</v>
      </c>
      <c r="BD151" s="507">
        <v>1066</v>
      </c>
      <c r="BE151" s="507">
        <v>941</v>
      </c>
      <c r="BF151" s="508">
        <f t="shared" si="276"/>
        <v>0.7792397660818714</v>
      </c>
      <c r="BG151" s="509">
        <f t="shared" si="277"/>
        <v>0.81874039938556065</v>
      </c>
      <c r="BH151" s="506">
        <v>1248</v>
      </c>
      <c r="BI151" s="507">
        <v>1231</v>
      </c>
      <c r="BJ151" s="507">
        <v>1180</v>
      </c>
      <c r="BK151" s="507">
        <v>953</v>
      </c>
      <c r="BL151" s="507">
        <v>839</v>
      </c>
      <c r="BM151" s="508">
        <f t="shared" si="278"/>
        <v>0.77416734362307071</v>
      </c>
      <c r="BN151" s="509">
        <f t="shared" si="279"/>
        <v>0.80762711864406778</v>
      </c>
      <c r="BO151" s="506">
        <v>1073</v>
      </c>
      <c r="BP151" s="507">
        <v>1031</v>
      </c>
      <c r="BQ151" s="507">
        <v>986</v>
      </c>
      <c r="BR151" s="507">
        <v>752</v>
      </c>
      <c r="BS151" s="507">
        <v>670</v>
      </c>
      <c r="BT151" s="508">
        <f t="shared" si="280"/>
        <v>0.72938894277400579</v>
      </c>
      <c r="BU151" s="509">
        <f t="shared" si="281"/>
        <v>0.76267748478701824</v>
      </c>
      <c r="BV151" s="506">
        <v>1280</v>
      </c>
      <c r="BW151" s="507">
        <v>1241</v>
      </c>
      <c r="BX151" s="507">
        <v>1194</v>
      </c>
      <c r="BY151" s="507">
        <v>849</v>
      </c>
      <c r="BZ151" s="507">
        <v>774</v>
      </c>
      <c r="CA151" s="508">
        <f t="shared" si="282"/>
        <v>0.68412570507655113</v>
      </c>
      <c r="CB151" s="509">
        <f t="shared" si="283"/>
        <v>0.71105527638190957</v>
      </c>
      <c r="CC151" s="506">
        <v>1730</v>
      </c>
      <c r="CD151" s="507">
        <v>1371</v>
      </c>
      <c r="CE151" s="507">
        <v>1210</v>
      </c>
      <c r="CF151" s="507">
        <v>1210</v>
      </c>
      <c r="CG151" s="507">
        <v>866</v>
      </c>
      <c r="CH151" s="508">
        <f t="shared" si="254"/>
        <v>0.88256746900072935</v>
      </c>
      <c r="CI151" s="509">
        <f t="shared" si="255"/>
        <v>1</v>
      </c>
      <c r="CJ151" s="506">
        <v>1503</v>
      </c>
      <c r="CK151" s="507">
        <v>1172</v>
      </c>
      <c r="CL151" s="507">
        <v>1033</v>
      </c>
      <c r="CM151" s="507">
        <v>1028</v>
      </c>
      <c r="CN151" s="507">
        <v>771</v>
      </c>
      <c r="CO151" s="508">
        <f t="shared" si="256"/>
        <v>0.87713310580204773</v>
      </c>
      <c r="CP151" s="508">
        <f t="shared" si="257"/>
        <v>0.99515972894482096</v>
      </c>
      <c r="CQ151" s="508">
        <v>0.87713310580204773</v>
      </c>
      <c r="CR151" s="509">
        <v>0.99515972894482096</v>
      </c>
      <c r="CS151" s="506">
        <v>1751</v>
      </c>
      <c r="CT151" s="507">
        <v>1302</v>
      </c>
      <c r="CU151" s="507">
        <v>1120</v>
      </c>
      <c r="CV151" s="507">
        <v>919</v>
      </c>
      <c r="CW151" s="507">
        <v>737</v>
      </c>
      <c r="CX151" s="508">
        <f t="shared" si="258"/>
        <v>0.70583717357910902</v>
      </c>
      <c r="CY151" s="508">
        <f t="shared" si="259"/>
        <v>0.82053571428571426</v>
      </c>
      <c r="CZ151" s="508">
        <v>0.85867895545314898</v>
      </c>
      <c r="DA151" s="509">
        <v>0.99821428571428572</v>
      </c>
      <c r="DB151" s="506">
        <v>1866</v>
      </c>
      <c r="DC151" s="507">
        <v>1354</v>
      </c>
      <c r="DD151" s="507">
        <v>1240</v>
      </c>
      <c r="DE151" s="507">
        <v>1002</v>
      </c>
      <c r="DF151" s="507">
        <v>837</v>
      </c>
      <c r="DG151" s="508">
        <f t="shared" si="260"/>
        <v>0.74002954209748895</v>
      </c>
      <c r="DH151" s="508">
        <f t="shared" si="261"/>
        <v>0.8080645161290323</v>
      </c>
      <c r="DI151" s="508">
        <v>0.91506646971935013</v>
      </c>
      <c r="DJ151" s="509">
        <v>0.99919354838709673</v>
      </c>
      <c r="DK151" s="506">
        <v>2350</v>
      </c>
      <c r="DL151" s="507">
        <v>1649</v>
      </c>
      <c r="DM151" s="507">
        <v>1500</v>
      </c>
      <c r="DN151" s="507">
        <v>1228</v>
      </c>
      <c r="DO151" s="507">
        <v>1025</v>
      </c>
      <c r="DP151" s="508">
        <f t="shared" si="262"/>
        <v>0.74469375379017588</v>
      </c>
      <c r="DQ151" s="508">
        <f t="shared" si="263"/>
        <v>0.81866666666666665</v>
      </c>
      <c r="DR151" s="508">
        <v>0.88235294117647056</v>
      </c>
      <c r="DS151" s="509">
        <v>0.97</v>
      </c>
      <c r="DT151" s="506">
        <v>2577</v>
      </c>
      <c r="DU151" s="507">
        <v>1764</v>
      </c>
      <c r="DV151" s="507">
        <v>1656</v>
      </c>
      <c r="DW151" s="507">
        <v>1190</v>
      </c>
      <c r="DX151" s="507">
        <v>973</v>
      </c>
      <c r="DY151" s="508">
        <f t="shared" si="264"/>
        <v>0.67460317460317465</v>
      </c>
      <c r="DZ151" s="508">
        <f t="shared" si="265"/>
        <v>0.71859903381642509</v>
      </c>
      <c r="EA151" s="508">
        <v>0.85827664399092973</v>
      </c>
      <c r="EB151" s="509">
        <v>0.91425120772946855</v>
      </c>
    </row>
    <row r="152" spans="1:132" s="2" customFormat="1" x14ac:dyDescent="0.25">
      <c r="A152" s="511" t="s">
        <v>376</v>
      </c>
      <c r="B152" s="512" t="s">
        <v>388</v>
      </c>
      <c r="C152" s="513" t="s">
        <v>199</v>
      </c>
      <c r="D152" s="568">
        <v>76</v>
      </c>
      <c r="E152" s="569">
        <v>74</v>
      </c>
      <c r="F152" s="569">
        <v>68</v>
      </c>
      <c r="G152" s="569">
        <v>61</v>
      </c>
      <c r="H152" s="569">
        <v>45</v>
      </c>
      <c r="I152" s="570">
        <f t="shared" si="250"/>
        <v>0.82432432432432434</v>
      </c>
      <c r="J152" s="571">
        <f t="shared" si="251"/>
        <v>0.8970588235294118</v>
      </c>
      <c r="K152" s="568">
        <v>72</v>
      </c>
      <c r="L152" s="569">
        <v>69</v>
      </c>
      <c r="M152" s="569">
        <v>57</v>
      </c>
      <c r="N152" s="569">
        <v>53</v>
      </c>
      <c r="O152" s="569">
        <v>34</v>
      </c>
      <c r="P152" s="570">
        <f t="shared" si="266"/>
        <v>0.76811594202898548</v>
      </c>
      <c r="Q152" s="571">
        <f t="shared" si="267"/>
        <v>0.92982456140350878</v>
      </c>
      <c r="R152" s="568">
        <v>66</v>
      </c>
      <c r="S152" s="569">
        <v>64</v>
      </c>
      <c r="T152" s="569">
        <v>64</v>
      </c>
      <c r="U152" s="569">
        <v>47</v>
      </c>
      <c r="V152" s="569">
        <v>37</v>
      </c>
      <c r="W152" s="570">
        <f t="shared" si="248"/>
        <v>0.734375</v>
      </c>
      <c r="X152" s="571">
        <f t="shared" si="249"/>
        <v>0.734375</v>
      </c>
      <c r="Y152" s="568">
        <v>68</v>
      </c>
      <c r="Z152" s="569">
        <v>66</v>
      </c>
      <c r="AA152" s="569">
        <v>58</v>
      </c>
      <c r="AB152" s="569">
        <v>41</v>
      </c>
      <c r="AC152" s="569">
        <v>37</v>
      </c>
      <c r="AD152" s="570">
        <f t="shared" si="268"/>
        <v>0.62121212121212122</v>
      </c>
      <c r="AE152" s="571">
        <f t="shared" si="269"/>
        <v>0.7068965517241379</v>
      </c>
      <c r="AF152" s="568">
        <v>95</v>
      </c>
      <c r="AG152" s="569">
        <v>90</v>
      </c>
      <c r="AH152" s="569">
        <v>70</v>
      </c>
      <c r="AI152" s="569">
        <v>55</v>
      </c>
      <c r="AJ152" s="569">
        <v>43</v>
      </c>
      <c r="AK152" s="570">
        <f t="shared" si="270"/>
        <v>0.61111111111111116</v>
      </c>
      <c r="AL152" s="571">
        <f t="shared" si="271"/>
        <v>0.7857142857142857</v>
      </c>
      <c r="AM152" s="568">
        <v>94</v>
      </c>
      <c r="AN152" s="569">
        <v>88</v>
      </c>
      <c r="AO152" s="569">
        <v>73</v>
      </c>
      <c r="AP152" s="569">
        <v>52</v>
      </c>
      <c r="AQ152" s="569">
        <v>39</v>
      </c>
      <c r="AR152" s="570">
        <f t="shared" si="272"/>
        <v>0.59090909090909094</v>
      </c>
      <c r="AS152" s="571">
        <f t="shared" si="273"/>
        <v>0.71232876712328763</v>
      </c>
      <c r="AT152" s="568">
        <v>78</v>
      </c>
      <c r="AU152" s="569">
        <v>76</v>
      </c>
      <c r="AV152" s="569">
        <v>60</v>
      </c>
      <c r="AW152" s="569">
        <v>45</v>
      </c>
      <c r="AX152" s="569">
        <v>34</v>
      </c>
      <c r="AY152" s="570">
        <f t="shared" si="274"/>
        <v>0.59210526315789469</v>
      </c>
      <c r="AZ152" s="571">
        <f t="shared" si="275"/>
        <v>0.75</v>
      </c>
      <c r="BA152" s="568">
        <v>68</v>
      </c>
      <c r="BB152" s="569">
        <v>63</v>
      </c>
      <c r="BC152" s="569">
        <v>55</v>
      </c>
      <c r="BD152" s="569">
        <v>42</v>
      </c>
      <c r="BE152" s="569">
        <v>36</v>
      </c>
      <c r="BF152" s="570">
        <f t="shared" si="276"/>
        <v>0.66666666666666663</v>
      </c>
      <c r="BG152" s="571">
        <f t="shared" si="277"/>
        <v>0.76363636363636367</v>
      </c>
      <c r="BH152" s="568">
        <v>40</v>
      </c>
      <c r="BI152" s="569">
        <v>39</v>
      </c>
      <c r="BJ152" s="569">
        <v>38</v>
      </c>
      <c r="BK152" s="569">
        <v>26</v>
      </c>
      <c r="BL152" s="569">
        <v>21</v>
      </c>
      <c r="BM152" s="570">
        <f t="shared" si="278"/>
        <v>0.66666666666666663</v>
      </c>
      <c r="BN152" s="571">
        <f t="shared" si="279"/>
        <v>0.68421052631578949</v>
      </c>
      <c r="BO152" s="568">
        <v>32</v>
      </c>
      <c r="BP152" s="569">
        <v>32</v>
      </c>
      <c r="BQ152" s="569">
        <v>30</v>
      </c>
      <c r="BR152" s="569">
        <v>21</v>
      </c>
      <c r="BS152" s="569">
        <v>14</v>
      </c>
      <c r="BT152" s="570">
        <f t="shared" si="280"/>
        <v>0.65625</v>
      </c>
      <c r="BU152" s="571">
        <f t="shared" si="281"/>
        <v>0.7</v>
      </c>
      <c r="BV152" s="568">
        <v>30</v>
      </c>
      <c r="BW152" s="569">
        <v>28</v>
      </c>
      <c r="BX152" s="569">
        <v>28</v>
      </c>
      <c r="BY152" s="569">
        <v>19</v>
      </c>
      <c r="BZ152" s="569">
        <v>12</v>
      </c>
      <c r="CA152" s="570">
        <f t="shared" si="282"/>
        <v>0.6785714285714286</v>
      </c>
      <c r="CB152" s="571">
        <f t="shared" si="283"/>
        <v>0.6785714285714286</v>
      </c>
      <c r="CC152" s="514" t="s">
        <v>67</v>
      </c>
      <c r="CD152" s="515" t="s">
        <v>67</v>
      </c>
      <c r="CE152" s="515" t="s">
        <v>67</v>
      </c>
      <c r="CF152" s="515" t="s">
        <v>67</v>
      </c>
      <c r="CG152" s="515" t="s">
        <v>67</v>
      </c>
      <c r="CH152" s="516" t="s">
        <v>67</v>
      </c>
      <c r="CI152" s="517" t="s">
        <v>67</v>
      </c>
      <c r="CJ152" s="514" t="s">
        <v>67</v>
      </c>
      <c r="CK152" s="515" t="s">
        <v>67</v>
      </c>
      <c r="CL152" s="515" t="s">
        <v>67</v>
      </c>
      <c r="CM152" s="515" t="s">
        <v>67</v>
      </c>
      <c r="CN152" s="515" t="s">
        <v>67</v>
      </c>
      <c r="CO152" s="516" t="s">
        <v>67</v>
      </c>
      <c r="CP152" s="516" t="s">
        <v>67</v>
      </c>
      <c r="CQ152" s="516" t="s">
        <v>67</v>
      </c>
      <c r="CR152" s="517" t="s">
        <v>67</v>
      </c>
      <c r="CS152" s="514" t="s">
        <v>67</v>
      </c>
      <c r="CT152" s="515" t="s">
        <v>67</v>
      </c>
      <c r="CU152" s="515" t="s">
        <v>67</v>
      </c>
      <c r="CV152" s="515" t="s">
        <v>67</v>
      </c>
      <c r="CW152" s="515" t="s">
        <v>67</v>
      </c>
      <c r="CX152" s="516" t="s">
        <v>67</v>
      </c>
      <c r="CY152" s="516" t="s">
        <v>67</v>
      </c>
      <c r="CZ152" s="516" t="s">
        <v>67</v>
      </c>
      <c r="DA152" s="517" t="s">
        <v>67</v>
      </c>
      <c r="DB152" s="514" t="s">
        <v>67</v>
      </c>
      <c r="DC152" s="515" t="s">
        <v>67</v>
      </c>
      <c r="DD152" s="515" t="s">
        <v>67</v>
      </c>
      <c r="DE152" s="515" t="s">
        <v>67</v>
      </c>
      <c r="DF152" s="515" t="s">
        <v>67</v>
      </c>
      <c r="DG152" s="516" t="s">
        <v>67</v>
      </c>
      <c r="DH152" s="516" t="s">
        <v>67</v>
      </c>
      <c r="DI152" s="516" t="s">
        <v>67</v>
      </c>
      <c r="DJ152" s="517" t="s">
        <v>67</v>
      </c>
      <c r="DK152" s="514" t="s">
        <v>67</v>
      </c>
      <c r="DL152" s="515" t="s">
        <v>67</v>
      </c>
      <c r="DM152" s="515" t="s">
        <v>67</v>
      </c>
      <c r="DN152" s="515" t="s">
        <v>67</v>
      </c>
      <c r="DO152" s="515" t="s">
        <v>67</v>
      </c>
      <c r="DP152" s="516" t="s">
        <v>67</v>
      </c>
      <c r="DQ152" s="516" t="s">
        <v>67</v>
      </c>
      <c r="DR152" s="516" t="s">
        <v>67</v>
      </c>
      <c r="DS152" s="517" t="s">
        <v>67</v>
      </c>
      <c r="DT152" s="514" t="s">
        <v>67</v>
      </c>
      <c r="DU152" s="515" t="s">
        <v>67</v>
      </c>
      <c r="DV152" s="515" t="s">
        <v>67</v>
      </c>
      <c r="DW152" s="515" t="s">
        <v>67</v>
      </c>
      <c r="DX152" s="515" t="s">
        <v>67</v>
      </c>
      <c r="DY152" s="516" t="s">
        <v>67</v>
      </c>
      <c r="DZ152" s="516" t="s">
        <v>67</v>
      </c>
      <c r="EA152" s="516" t="s">
        <v>67</v>
      </c>
      <c r="EB152" s="517" t="s">
        <v>67</v>
      </c>
    </row>
    <row r="153" spans="1:132" s="2" customFormat="1" x14ac:dyDescent="0.25">
      <c r="A153" s="551" t="s">
        <v>389</v>
      </c>
      <c r="B153" s="489" t="s">
        <v>390</v>
      </c>
      <c r="C153" s="553"/>
      <c r="D153" s="558">
        <v>10684</v>
      </c>
      <c r="E153" s="559">
        <v>9012</v>
      </c>
      <c r="F153" s="559">
        <v>7987</v>
      </c>
      <c r="G153" s="559">
        <v>4708</v>
      </c>
      <c r="H153" s="560">
        <v>3714</v>
      </c>
      <c r="I153" s="561">
        <f t="shared" si="250"/>
        <v>0.52241455836662232</v>
      </c>
      <c r="J153" s="562">
        <f t="shared" si="251"/>
        <v>0.58945786903718544</v>
      </c>
      <c r="K153" s="558">
        <v>10993</v>
      </c>
      <c r="L153" s="559">
        <v>9250</v>
      </c>
      <c r="M153" s="559">
        <v>8324</v>
      </c>
      <c r="N153" s="559">
        <v>4360</v>
      </c>
      <c r="O153" s="560">
        <v>3417</v>
      </c>
      <c r="P153" s="561">
        <f t="shared" si="266"/>
        <v>0.47135135135135137</v>
      </c>
      <c r="Q153" s="562">
        <f t="shared" si="267"/>
        <v>0.52378664103796246</v>
      </c>
      <c r="R153" s="558">
        <v>9206</v>
      </c>
      <c r="S153" s="559">
        <v>7649</v>
      </c>
      <c r="T153" s="559">
        <v>6965</v>
      </c>
      <c r="U153" s="559">
        <v>3740</v>
      </c>
      <c r="V153" s="560">
        <v>3413</v>
      </c>
      <c r="W153" s="561">
        <f t="shared" si="248"/>
        <v>0.48895280428814225</v>
      </c>
      <c r="X153" s="562">
        <f t="shared" si="249"/>
        <v>0.53697056712132085</v>
      </c>
      <c r="Y153" s="558">
        <v>8812</v>
      </c>
      <c r="Z153" s="559">
        <v>7296</v>
      </c>
      <c r="AA153" s="559">
        <v>6702</v>
      </c>
      <c r="AB153" s="559">
        <v>3701</v>
      </c>
      <c r="AC153" s="560">
        <v>3244</v>
      </c>
      <c r="AD153" s="561">
        <f t="shared" si="268"/>
        <v>0.5072642543859649</v>
      </c>
      <c r="AE153" s="562">
        <f t="shared" si="269"/>
        <v>0.55222321695016408</v>
      </c>
      <c r="AF153" s="558">
        <v>8602</v>
      </c>
      <c r="AG153" s="559">
        <v>6942</v>
      </c>
      <c r="AH153" s="559">
        <v>6555</v>
      </c>
      <c r="AI153" s="559">
        <v>3620</v>
      </c>
      <c r="AJ153" s="560">
        <v>3093</v>
      </c>
      <c r="AK153" s="561">
        <f t="shared" si="270"/>
        <v>0.52146355517142029</v>
      </c>
      <c r="AL153" s="562">
        <f t="shared" si="271"/>
        <v>0.55225019069412662</v>
      </c>
      <c r="AM153" s="558">
        <v>7536</v>
      </c>
      <c r="AN153" s="559">
        <v>6108</v>
      </c>
      <c r="AO153" s="559">
        <v>5803</v>
      </c>
      <c r="AP153" s="559">
        <v>3369</v>
      </c>
      <c r="AQ153" s="560">
        <v>2946</v>
      </c>
      <c r="AR153" s="561">
        <f t="shared" si="272"/>
        <v>0.55157170923379173</v>
      </c>
      <c r="AS153" s="562">
        <f t="shared" si="273"/>
        <v>0.58056177839048773</v>
      </c>
      <c r="AT153" s="558">
        <v>6859</v>
      </c>
      <c r="AU153" s="559">
        <v>5564</v>
      </c>
      <c r="AV153" s="559">
        <v>5186</v>
      </c>
      <c r="AW153" s="559">
        <v>3058</v>
      </c>
      <c r="AX153" s="560">
        <v>2754</v>
      </c>
      <c r="AY153" s="561">
        <f t="shared" si="274"/>
        <v>0.54960460100647013</v>
      </c>
      <c r="AZ153" s="562">
        <f t="shared" si="275"/>
        <v>0.58966448129579641</v>
      </c>
      <c r="BA153" s="558">
        <v>6480</v>
      </c>
      <c r="BB153" s="559">
        <v>5282</v>
      </c>
      <c r="BC153" s="559">
        <v>4972</v>
      </c>
      <c r="BD153" s="559">
        <v>3123</v>
      </c>
      <c r="BE153" s="560">
        <v>2771</v>
      </c>
      <c r="BF153" s="561">
        <f t="shared" si="276"/>
        <v>0.59125331313896257</v>
      </c>
      <c r="BG153" s="562">
        <f t="shared" si="277"/>
        <v>0.6281174577634755</v>
      </c>
      <c r="BH153" s="558">
        <v>6188</v>
      </c>
      <c r="BI153" s="559">
        <v>5037</v>
      </c>
      <c r="BJ153" s="559">
        <v>4870</v>
      </c>
      <c r="BK153" s="559">
        <v>3008</v>
      </c>
      <c r="BL153" s="560">
        <v>2733</v>
      </c>
      <c r="BM153" s="561">
        <f t="shared" si="278"/>
        <v>0.59718086162398254</v>
      </c>
      <c r="BN153" s="562">
        <f t="shared" si="279"/>
        <v>0.61765913757700208</v>
      </c>
      <c r="BO153" s="558">
        <v>6080</v>
      </c>
      <c r="BP153" s="559">
        <v>5026</v>
      </c>
      <c r="BQ153" s="559">
        <v>4882</v>
      </c>
      <c r="BR153" s="559">
        <v>2944</v>
      </c>
      <c r="BS153" s="560">
        <v>2648</v>
      </c>
      <c r="BT153" s="561">
        <f t="shared" si="280"/>
        <v>0.58575407879029051</v>
      </c>
      <c r="BU153" s="562">
        <f t="shared" si="281"/>
        <v>0.60303154444899632</v>
      </c>
      <c r="BV153" s="558">
        <v>7528</v>
      </c>
      <c r="BW153" s="559">
        <v>6087</v>
      </c>
      <c r="BX153" s="559">
        <v>5920</v>
      </c>
      <c r="BY153" s="559">
        <v>3640</v>
      </c>
      <c r="BZ153" s="560">
        <v>3169</v>
      </c>
      <c r="CA153" s="561">
        <f t="shared" si="282"/>
        <v>0.5979957286019385</v>
      </c>
      <c r="CB153" s="562">
        <f t="shared" si="283"/>
        <v>0.61486486486486491</v>
      </c>
      <c r="CC153" s="558">
        <v>7096</v>
      </c>
      <c r="CD153" s="559">
        <v>5770</v>
      </c>
      <c r="CE153" s="559">
        <v>5561</v>
      </c>
      <c r="CF153" s="559">
        <v>3964</v>
      </c>
      <c r="CG153" s="560">
        <v>3077</v>
      </c>
      <c r="CH153" s="561">
        <f t="shared" si="254"/>
        <v>0.68700173310225299</v>
      </c>
      <c r="CI153" s="562">
        <f t="shared" si="255"/>
        <v>0.7128214349937062</v>
      </c>
      <c r="CJ153" s="558">
        <v>7671</v>
      </c>
      <c r="CK153" s="559">
        <v>6217</v>
      </c>
      <c r="CL153" s="559">
        <v>5997</v>
      </c>
      <c r="CM153" s="559">
        <v>4198</v>
      </c>
      <c r="CN153" s="560">
        <v>3271</v>
      </c>
      <c r="CO153" s="561">
        <f t="shared" ref="CO153:CO159" si="284">CM153/CK153</f>
        <v>0.67524529515843656</v>
      </c>
      <c r="CP153" s="664">
        <f t="shared" ref="CP153:CP159" si="285">CM153/CL153</f>
        <v>0.70001667500416875</v>
      </c>
      <c r="CQ153" s="561">
        <v>0.67524529515843656</v>
      </c>
      <c r="CR153" s="562">
        <v>0.70001667500416875</v>
      </c>
      <c r="CS153" s="558">
        <v>7995</v>
      </c>
      <c r="CT153" s="559">
        <v>6249</v>
      </c>
      <c r="CU153" s="559">
        <v>5995</v>
      </c>
      <c r="CV153" s="559">
        <v>3184</v>
      </c>
      <c r="CW153" s="560">
        <v>2848</v>
      </c>
      <c r="CX153" s="561">
        <f t="shared" ref="CX153:CX159" si="286">CV153/CT153</f>
        <v>0.50952152344375101</v>
      </c>
      <c r="CY153" s="664">
        <f t="shared" ref="CY153:CY159" si="287">CV153/CU153</f>
        <v>0.53110925771476225</v>
      </c>
      <c r="CZ153" s="561">
        <v>0.50952152344375101</v>
      </c>
      <c r="DA153" s="562">
        <v>0.53110925771476225</v>
      </c>
      <c r="DB153" s="558">
        <v>7975</v>
      </c>
      <c r="DC153" s="559">
        <v>6100</v>
      </c>
      <c r="DD153" s="559">
        <v>5924</v>
      </c>
      <c r="DE153" s="559">
        <v>3135</v>
      </c>
      <c r="DF153" s="560">
        <v>2824</v>
      </c>
      <c r="DG153" s="561">
        <f t="shared" ref="DG153:DG159" si="288">DE153/DC153</f>
        <v>0.51393442622950825</v>
      </c>
      <c r="DH153" s="664">
        <f t="shared" ref="DH153:DH159" si="289">DE153/DD153</f>
        <v>0.52920324105334238</v>
      </c>
      <c r="DI153" s="561">
        <v>0.51393442622950825</v>
      </c>
      <c r="DJ153" s="562">
        <v>0.52920324105334238</v>
      </c>
      <c r="DK153" s="558">
        <v>8968</v>
      </c>
      <c r="DL153" s="559">
        <v>6642</v>
      </c>
      <c r="DM153" s="559">
        <v>6501</v>
      </c>
      <c r="DN153" s="559">
        <v>3122</v>
      </c>
      <c r="DO153" s="560">
        <v>2846</v>
      </c>
      <c r="DP153" s="561">
        <f t="shared" ref="DP153:DP159" si="290">DN153/DL153</f>
        <v>0.47003914483589282</v>
      </c>
      <c r="DQ153" s="664">
        <f t="shared" ref="DQ153:DQ159" si="291">DN153/DM153</f>
        <v>0.48023381018304878</v>
      </c>
      <c r="DR153" s="561">
        <v>0.47003914483589282</v>
      </c>
      <c r="DS153" s="562">
        <v>0.48023381018304878</v>
      </c>
      <c r="DT153" s="558">
        <v>8414</v>
      </c>
      <c r="DU153" s="559">
        <v>6242</v>
      </c>
      <c r="DV153" s="559">
        <v>6074</v>
      </c>
      <c r="DW153" s="559">
        <v>3239</v>
      </c>
      <c r="DX153" s="560">
        <v>2919</v>
      </c>
      <c r="DY153" s="561">
        <f t="shared" ref="DY153:DY159" si="292">DW153/DU153</f>
        <v>0.51890419737263693</v>
      </c>
      <c r="DZ153" s="664">
        <f t="shared" ref="DZ153:DZ159" si="293">DW153/DV153</f>
        <v>0.53325650312808692</v>
      </c>
      <c r="EA153" s="561">
        <v>0.51890419737263693</v>
      </c>
      <c r="EB153" s="562">
        <v>0.53325650312808692</v>
      </c>
    </row>
    <row r="154" spans="1:132" s="2" customFormat="1" x14ac:dyDescent="0.25">
      <c r="A154" s="554" t="s">
        <v>389</v>
      </c>
      <c r="B154" s="497" t="s">
        <v>391</v>
      </c>
      <c r="C154" s="556" t="s">
        <v>392</v>
      </c>
      <c r="D154" s="499">
        <v>1757</v>
      </c>
      <c r="E154" s="500">
        <v>1714</v>
      </c>
      <c r="F154" s="500">
        <v>1391</v>
      </c>
      <c r="G154" s="500">
        <v>1369</v>
      </c>
      <c r="H154" s="500">
        <v>1038</v>
      </c>
      <c r="I154" s="501">
        <f t="shared" si="250"/>
        <v>0.79871645274212366</v>
      </c>
      <c r="J154" s="502">
        <f t="shared" si="251"/>
        <v>0.98418404025880657</v>
      </c>
      <c r="K154" s="499">
        <v>1212</v>
      </c>
      <c r="L154" s="500">
        <v>1200</v>
      </c>
      <c r="M154" s="500">
        <v>1000</v>
      </c>
      <c r="N154" s="500">
        <v>884</v>
      </c>
      <c r="O154" s="500">
        <v>640</v>
      </c>
      <c r="P154" s="501">
        <f t="shared" si="266"/>
        <v>0.73666666666666669</v>
      </c>
      <c r="Q154" s="502">
        <f t="shared" si="267"/>
        <v>0.88400000000000001</v>
      </c>
      <c r="R154" s="499">
        <v>838</v>
      </c>
      <c r="S154" s="500">
        <v>832</v>
      </c>
      <c r="T154" s="500">
        <v>832</v>
      </c>
      <c r="U154" s="500">
        <v>601</v>
      </c>
      <c r="V154" s="500">
        <v>440</v>
      </c>
      <c r="W154" s="501">
        <f t="shared" si="248"/>
        <v>0.72235576923076927</v>
      </c>
      <c r="X154" s="502">
        <f t="shared" si="249"/>
        <v>0.72235576923076927</v>
      </c>
      <c r="Y154" s="499">
        <v>992</v>
      </c>
      <c r="Z154" s="500">
        <v>964</v>
      </c>
      <c r="AA154" s="500">
        <v>964</v>
      </c>
      <c r="AB154" s="500">
        <v>800</v>
      </c>
      <c r="AC154" s="500">
        <v>628</v>
      </c>
      <c r="AD154" s="501">
        <f t="shared" si="268"/>
        <v>0.82987551867219922</v>
      </c>
      <c r="AE154" s="502">
        <f t="shared" si="269"/>
        <v>0.82987551867219922</v>
      </c>
      <c r="AF154" s="499">
        <v>1028</v>
      </c>
      <c r="AG154" s="500">
        <v>1001</v>
      </c>
      <c r="AH154" s="500">
        <v>1001</v>
      </c>
      <c r="AI154" s="500">
        <v>845</v>
      </c>
      <c r="AJ154" s="500">
        <v>651</v>
      </c>
      <c r="AK154" s="501">
        <f t="shared" si="270"/>
        <v>0.8441558441558441</v>
      </c>
      <c r="AL154" s="502">
        <f t="shared" si="271"/>
        <v>0.8441558441558441</v>
      </c>
      <c r="AM154" s="499">
        <v>1064</v>
      </c>
      <c r="AN154" s="500">
        <v>1035</v>
      </c>
      <c r="AO154" s="500">
        <v>1035</v>
      </c>
      <c r="AP154" s="500">
        <v>920</v>
      </c>
      <c r="AQ154" s="500">
        <v>751</v>
      </c>
      <c r="AR154" s="501">
        <f t="shared" si="272"/>
        <v>0.88888888888888884</v>
      </c>
      <c r="AS154" s="502">
        <f t="shared" si="273"/>
        <v>0.88888888888888884</v>
      </c>
      <c r="AT154" s="499">
        <v>1124</v>
      </c>
      <c r="AU154" s="500">
        <v>1082</v>
      </c>
      <c r="AV154" s="500">
        <v>1082</v>
      </c>
      <c r="AW154" s="500">
        <v>943</v>
      </c>
      <c r="AX154" s="500">
        <v>785</v>
      </c>
      <c r="AY154" s="501">
        <f t="shared" si="274"/>
        <v>0.8715341959334566</v>
      </c>
      <c r="AZ154" s="502">
        <f t="shared" si="275"/>
        <v>0.8715341959334566</v>
      </c>
      <c r="BA154" s="499">
        <v>1036</v>
      </c>
      <c r="BB154" s="500">
        <v>1002</v>
      </c>
      <c r="BC154" s="500">
        <v>1002</v>
      </c>
      <c r="BD154" s="500">
        <v>858</v>
      </c>
      <c r="BE154" s="500">
        <v>675</v>
      </c>
      <c r="BF154" s="501">
        <f t="shared" si="276"/>
        <v>0.85628742514970058</v>
      </c>
      <c r="BG154" s="502">
        <f t="shared" si="277"/>
        <v>0.85628742514970058</v>
      </c>
      <c r="BH154" s="499">
        <v>1093</v>
      </c>
      <c r="BI154" s="500">
        <v>972</v>
      </c>
      <c r="BJ154" s="500">
        <v>972</v>
      </c>
      <c r="BK154" s="500">
        <v>779</v>
      </c>
      <c r="BL154" s="500">
        <v>616</v>
      </c>
      <c r="BM154" s="501">
        <f t="shared" si="278"/>
        <v>0.80144032921810704</v>
      </c>
      <c r="BN154" s="502">
        <f t="shared" si="279"/>
        <v>0.80144032921810704</v>
      </c>
      <c r="BO154" s="499">
        <v>1118</v>
      </c>
      <c r="BP154" s="500">
        <v>1026</v>
      </c>
      <c r="BQ154" s="500">
        <v>1026</v>
      </c>
      <c r="BR154" s="500">
        <v>796</v>
      </c>
      <c r="BS154" s="500">
        <v>648</v>
      </c>
      <c r="BT154" s="501">
        <f t="shared" si="280"/>
        <v>0.77582846003898631</v>
      </c>
      <c r="BU154" s="502">
        <f t="shared" si="281"/>
        <v>0.77582846003898631</v>
      </c>
      <c r="BV154" s="499">
        <v>1371</v>
      </c>
      <c r="BW154" s="500">
        <v>1234</v>
      </c>
      <c r="BX154" s="500">
        <v>1234</v>
      </c>
      <c r="BY154" s="500">
        <v>935</v>
      </c>
      <c r="BZ154" s="500">
        <v>768</v>
      </c>
      <c r="CA154" s="501">
        <f t="shared" si="282"/>
        <v>0.75769854132901138</v>
      </c>
      <c r="CB154" s="502">
        <f t="shared" si="283"/>
        <v>0.75769854132901138</v>
      </c>
      <c r="CC154" s="499">
        <v>1182</v>
      </c>
      <c r="CD154" s="500">
        <v>1084</v>
      </c>
      <c r="CE154" s="500">
        <v>1084</v>
      </c>
      <c r="CF154" s="500">
        <v>1051</v>
      </c>
      <c r="CG154" s="500">
        <v>724</v>
      </c>
      <c r="CH154" s="501">
        <f t="shared" si="254"/>
        <v>0.96955719557195574</v>
      </c>
      <c r="CI154" s="502">
        <f t="shared" si="255"/>
        <v>0.96955719557195574</v>
      </c>
      <c r="CJ154" s="499">
        <v>1322</v>
      </c>
      <c r="CK154" s="500">
        <v>1199</v>
      </c>
      <c r="CL154" s="500">
        <v>1199</v>
      </c>
      <c r="CM154" s="500">
        <v>1158</v>
      </c>
      <c r="CN154" s="500">
        <v>792</v>
      </c>
      <c r="CO154" s="501">
        <f t="shared" si="284"/>
        <v>0.96580483736447043</v>
      </c>
      <c r="CP154" s="501">
        <f t="shared" si="285"/>
        <v>0.96580483736447043</v>
      </c>
      <c r="CQ154" s="501">
        <v>0.96580483736447043</v>
      </c>
      <c r="CR154" s="502">
        <v>0.96580483736447043</v>
      </c>
      <c r="CS154" s="499">
        <v>1341</v>
      </c>
      <c r="CT154" s="500">
        <v>1186</v>
      </c>
      <c r="CU154" s="500">
        <v>1186</v>
      </c>
      <c r="CV154" s="500">
        <v>830</v>
      </c>
      <c r="CW154" s="500">
        <v>700</v>
      </c>
      <c r="CX154" s="501">
        <f t="shared" si="286"/>
        <v>0.6998313659359191</v>
      </c>
      <c r="CY154" s="501">
        <f t="shared" si="287"/>
        <v>0.6998313659359191</v>
      </c>
      <c r="CZ154" s="501">
        <v>0.6998313659359191</v>
      </c>
      <c r="DA154" s="502">
        <v>0.6998313659359191</v>
      </c>
      <c r="DB154" s="499">
        <v>1225</v>
      </c>
      <c r="DC154" s="500">
        <v>1074</v>
      </c>
      <c r="DD154" s="500">
        <v>1074</v>
      </c>
      <c r="DE154" s="500">
        <v>760</v>
      </c>
      <c r="DF154" s="500">
        <v>615</v>
      </c>
      <c r="DG154" s="501">
        <f t="shared" si="288"/>
        <v>0.707635009310987</v>
      </c>
      <c r="DH154" s="501">
        <f t="shared" si="289"/>
        <v>0.707635009310987</v>
      </c>
      <c r="DI154" s="501">
        <v>0.707635009310987</v>
      </c>
      <c r="DJ154" s="502">
        <v>0.707635009310987</v>
      </c>
      <c r="DK154" s="499">
        <v>1363</v>
      </c>
      <c r="DL154" s="500">
        <v>1178</v>
      </c>
      <c r="DM154" s="500">
        <v>1178</v>
      </c>
      <c r="DN154" s="500">
        <v>818</v>
      </c>
      <c r="DO154" s="500">
        <v>657</v>
      </c>
      <c r="DP154" s="501">
        <f t="shared" si="290"/>
        <v>0.69439728353140917</v>
      </c>
      <c r="DQ154" s="501">
        <f t="shared" si="291"/>
        <v>0.69439728353140917</v>
      </c>
      <c r="DR154" s="501">
        <v>0.69439728353140917</v>
      </c>
      <c r="DS154" s="502">
        <v>0.69439728353140917</v>
      </c>
      <c r="DT154" s="499">
        <v>1288</v>
      </c>
      <c r="DU154" s="500">
        <v>1107</v>
      </c>
      <c r="DV154" s="500">
        <v>1107</v>
      </c>
      <c r="DW154" s="500">
        <v>790</v>
      </c>
      <c r="DX154" s="500">
        <v>608</v>
      </c>
      <c r="DY154" s="501">
        <f t="shared" si="292"/>
        <v>0.71364046973803075</v>
      </c>
      <c r="DZ154" s="501">
        <f t="shared" si="293"/>
        <v>0.71364046973803075</v>
      </c>
      <c r="EA154" s="501">
        <v>0.71364046973803075</v>
      </c>
      <c r="EB154" s="502">
        <v>0.71364046973803075</v>
      </c>
    </row>
    <row r="155" spans="1:132" s="2" customFormat="1" x14ac:dyDescent="0.25">
      <c r="A155" s="503" t="s">
        <v>389</v>
      </c>
      <c r="B155" s="504" t="s">
        <v>393</v>
      </c>
      <c r="C155" s="505" t="s">
        <v>394</v>
      </c>
      <c r="D155" s="506">
        <v>3174</v>
      </c>
      <c r="E155" s="507">
        <v>2692</v>
      </c>
      <c r="F155" s="507">
        <v>2475</v>
      </c>
      <c r="G155" s="507">
        <v>1203</v>
      </c>
      <c r="H155" s="507">
        <v>809</v>
      </c>
      <c r="I155" s="508">
        <f t="shared" si="250"/>
        <v>0.44687964338781577</v>
      </c>
      <c r="J155" s="509">
        <f t="shared" si="251"/>
        <v>0.48606060606060608</v>
      </c>
      <c r="K155" s="506">
        <v>2721</v>
      </c>
      <c r="L155" s="507">
        <v>2361</v>
      </c>
      <c r="M155" s="507">
        <v>2134</v>
      </c>
      <c r="N155" s="507">
        <v>1189</v>
      </c>
      <c r="O155" s="507">
        <v>822</v>
      </c>
      <c r="P155" s="508">
        <f t="shared" si="266"/>
        <v>0.5036001694197374</v>
      </c>
      <c r="Q155" s="509">
        <f t="shared" si="267"/>
        <v>0.55716963448922208</v>
      </c>
      <c r="R155" s="506">
        <v>2437</v>
      </c>
      <c r="S155" s="507">
        <v>2056</v>
      </c>
      <c r="T155" s="507">
        <v>1855</v>
      </c>
      <c r="U155" s="507">
        <v>818</v>
      </c>
      <c r="V155" s="507">
        <v>785</v>
      </c>
      <c r="W155" s="508">
        <f t="shared" si="248"/>
        <v>0.3978599221789883</v>
      </c>
      <c r="X155" s="509">
        <f t="shared" si="249"/>
        <v>0.44097035040431265</v>
      </c>
      <c r="Y155" s="506">
        <v>2258</v>
      </c>
      <c r="Z155" s="507">
        <v>1849</v>
      </c>
      <c r="AA155" s="507">
        <v>1701</v>
      </c>
      <c r="AB155" s="507">
        <v>704</v>
      </c>
      <c r="AC155" s="507">
        <v>645</v>
      </c>
      <c r="AD155" s="508">
        <f t="shared" si="268"/>
        <v>0.38074634937804219</v>
      </c>
      <c r="AE155" s="509">
        <f t="shared" si="269"/>
        <v>0.41387419165196943</v>
      </c>
      <c r="AF155" s="506">
        <v>1797</v>
      </c>
      <c r="AG155" s="507">
        <v>1490</v>
      </c>
      <c r="AH155" s="507">
        <v>1333</v>
      </c>
      <c r="AI155" s="507">
        <v>621</v>
      </c>
      <c r="AJ155" s="507">
        <v>569</v>
      </c>
      <c r="AK155" s="508">
        <f t="shared" si="270"/>
        <v>0.41677852348993288</v>
      </c>
      <c r="AL155" s="509">
        <f t="shared" si="271"/>
        <v>0.46586646661665415</v>
      </c>
      <c r="AM155" s="506">
        <v>1490</v>
      </c>
      <c r="AN155" s="507">
        <v>1205</v>
      </c>
      <c r="AO155" s="507">
        <v>1062</v>
      </c>
      <c r="AP155" s="507">
        <v>521</v>
      </c>
      <c r="AQ155" s="507">
        <v>503</v>
      </c>
      <c r="AR155" s="508">
        <f t="shared" si="272"/>
        <v>0.43236514522821579</v>
      </c>
      <c r="AS155" s="509">
        <f t="shared" si="273"/>
        <v>0.49058380414312619</v>
      </c>
      <c r="AT155" s="506">
        <v>1269</v>
      </c>
      <c r="AU155" s="507">
        <v>1034</v>
      </c>
      <c r="AV155" s="507">
        <v>901</v>
      </c>
      <c r="AW155" s="507">
        <v>439</v>
      </c>
      <c r="AX155" s="507">
        <v>421</v>
      </c>
      <c r="AY155" s="508">
        <f t="shared" si="274"/>
        <v>0.42456479690522242</v>
      </c>
      <c r="AZ155" s="509">
        <f t="shared" si="275"/>
        <v>0.48723640399556051</v>
      </c>
      <c r="BA155" s="506">
        <v>1224</v>
      </c>
      <c r="BB155" s="507">
        <v>986</v>
      </c>
      <c r="BC155" s="507">
        <v>917</v>
      </c>
      <c r="BD155" s="507">
        <v>478</v>
      </c>
      <c r="BE155" s="507">
        <v>449</v>
      </c>
      <c r="BF155" s="508">
        <f t="shared" si="276"/>
        <v>0.48478701825557807</v>
      </c>
      <c r="BG155" s="509">
        <f t="shared" si="277"/>
        <v>0.52126499454743724</v>
      </c>
      <c r="BH155" s="506">
        <v>1132</v>
      </c>
      <c r="BI155" s="507">
        <v>985</v>
      </c>
      <c r="BJ155" s="507">
        <v>985</v>
      </c>
      <c r="BK155" s="507">
        <v>539</v>
      </c>
      <c r="BL155" s="507">
        <v>519</v>
      </c>
      <c r="BM155" s="508">
        <f t="shared" si="278"/>
        <v>0.54720812182741119</v>
      </c>
      <c r="BN155" s="509">
        <f t="shared" si="279"/>
        <v>0.54720812182741119</v>
      </c>
      <c r="BO155" s="506">
        <v>1162</v>
      </c>
      <c r="BP155" s="507">
        <v>981</v>
      </c>
      <c r="BQ155" s="507">
        <v>981</v>
      </c>
      <c r="BR155" s="507">
        <v>460</v>
      </c>
      <c r="BS155" s="507">
        <v>445</v>
      </c>
      <c r="BT155" s="508">
        <f t="shared" si="280"/>
        <v>0.4689092762487258</v>
      </c>
      <c r="BU155" s="509">
        <f t="shared" si="281"/>
        <v>0.4689092762487258</v>
      </c>
      <c r="BV155" s="506">
        <v>1351</v>
      </c>
      <c r="BW155" s="507">
        <v>1149</v>
      </c>
      <c r="BX155" s="507">
        <v>1149</v>
      </c>
      <c r="BY155" s="507">
        <v>543</v>
      </c>
      <c r="BZ155" s="507">
        <v>525</v>
      </c>
      <c r="CA155" s="508">
        <f t="shared" si="282"/>
        <v>0.47258485639686681</v>
      </c>
      <c r="CB155" s="509">
        <f t="shared" si="283"/>
        <v>0.47258485639686681</v>
      </c>
      <c r="CC155" s="506">
        <v>1289</v>
      </c>
      <c r="CD155" s="507">
        <v>1044</v>
      </c>
      <c r="CE155" s="507">
        <v>1044</v>
      </c>
      <c r="CF155" s="507">
        <v>474</v>
      </c>
      <c r="CG155" s="507">
        <v>458</v>
      </c>
      <c r="CH155" s="508">
        <f t="shared" si="254"/>
        <v>0.45402298850574713</v>
      </c>
      <c r="CI155" s="509">
        <f t="shared" si="255"/>
        <v>0.45402298850574713</v>
      </c>
      <c r="CJ155" s="506">
        <v>1443</v>
      </c>
      <c r="CK155" s="507">
        <v>1283</v>
      </c>
      <c r="CL155" s="507">
        <v>1283</v>
      </c>
      <c r="CM155" s="507">
        <v>744</v>
      </c>
      <c r="CN155" s="507">
        <v>744</v>
      </c>
      <c r="CO155" s="508">
        <f t="shared" si="284"/>
        <v>0.57989088074824635</v>
      </c>
      <c r="CP155" s="508">
        <f t="shared" si="285"/>
        <v>0.57989088074824635</v>
      </c>
      <c r="CQ155" s="508">
        <v>0.57989088074824635</v>
      </c>
      <c r="CR155" s="509">
        <v>0.57989088074824635</v>
      </c>
      <c r="CS155" s="506">
        <v>1567</v>
      </c>
      <c r="CT155" s="507">
        <v>1352</v>
      </c>
      <c r="CU155" s="507">
        <v>1352</v>
      </c>
      <c r="CV155" s="507">
        <v>516</v>
      </c>
      <c r="CW155" s="507">
        <v>515</v>
      </c>
      <c r="CX155" s="508">
        <f t="shared" si="286"/>
        <v>0.38165680473372782</v>
      </c>
      <c r="CY155" s="508">
        <f t="shared" si="287"/>
        <v>0.38165680473372782</v>
      </c>
      <c r="CZ155" s="508">
        <v>0.38165680473372782</v>
      </c>
      <c r="DA155" s="509">
        <v>0.38165680473372782</v>
      </c>
      <c r="DB155" s="506">
        <v>1705</v>
      </c>
      <c r="DC155" s="507">
        <v>1417</v>
      </c>
      <c r="DD155" s="507">
        <v>1417</v>
      </c>
      <c r="DE155" s="507">
        <v>540</v>
      </c>
      <c r="DF155" s="507">
        <v>540</v>
      </c>
      <c r="DG155" s="508">
        <f t="shared" si="288"/>
        <v>0.38108680310515175</v>
      </c>
      <c r="DH155" s="508">
        <f t="shared" si="289"/>
        <v>0.38108680310515175</v>
      </c>
      <c r="DI155" s="508">
        <v>0.38108680310515175</v>
      </c>
      <c r="DJ155" s="509">
        <v>0.38108680310515175</v>
      </c>
      <c r="DK155" s="506">
        <v>2338</v>
      </c>
      <c r="DL155" s="507">
        <v>1842</v>
      </c>
      <c r="DM155" s="507">
        <v>1842</v>
      </c>
      <c r="DN155" s="507">
        <v>467</v>
      </c>
      <c r="DO155" s="507">
        <v>467</v>
      </c>
      <c r="DP155" s="508">
        <f t="shared" si="290"/>
        <v>0.25352877307274702</v>
      </c>
      <c r="DQ155" s="508">
        <f t="shared" si="291"/>
        <v>0.25352877307274702</v>
      </c>
      <c r="DR155" s="508">
        <v>0.25352877307274702</v>
      </c>
      <c r="DS155" s="509">
        <v>0.25352877307274702</v>
      </c>
      <c r="DT155" s="506">
        <v>1398</v>
      </c>
      <c r="DU155" s="507">
        <v>1164</v>
      </c>
      <c r="DV155" s="507">
        <v>1164</v>
      </c>
      <c r="DW155" s="507">
        <v>476</v>
      </c>
      <c r="DX155" s="507">
        <v>473</v>
      </c>
      <c r="DY155" s="508">
        <f t="shared" si="292"/>
        <v>0.40893470790378006</v>
      </c>
      <c r="DZ155" s="508">
        <f t="shared" si="293"/>
        <v>0.40893470790378006</v>
      </c>
      <c r="EA155" s="508">
        <v>0.40893470790378006</v>
      </c>
      <c r="EB155" s="509">
        <v>0.40893470790378006</v>
      </c>
    </row>
    <row r="156" spans="1:132" s="2" customFormat="1" x14ac:dyDescent="0.25">
      <c r="A156" s="503" t="s">
        <v>389</v>
      </c>
      <c r="B156" s="504" t="s">
        <v>395</v>
      </c>
      <c r="C156" s="505" t="s">
        <v>396</v>
      </c>
      <c r="D156" s="506">
        <v>1661</v>
      </c>
      <c r="E156" s="507">
        <v>1626</v>
      </c>
      <c r="F156" s="507">
        <v>1461</v>
      </c>
      <c r="G156" s="507">
        <v>321</v>
      </c>
      <c r="H156" s="507">
        <v>260</v>
      </c>
      <c r="I156" s="508">
        <f t="shared" si="250"/>
        <v>0.19741697416974169</v>
      </c>
      <c r="J156" s="509">
        <f t="shared" si="251"/>
        <v>0.21971252566735114</v>
      </c>
      <c r="K156" s="506">
        <v>1538</v>
      </c>
      <c r="L156" s="507">
        <v>1510</v>
      </c>
      <c r="M156" s="507">
        <v>1365</v>
      </c>
      <c r="N156" s="507">
        <v>290</v>
      </c>
      <c r="O156" s="507">
        <v>231</v>
      </c>
      <c r="P156" s="508">
        <f t="shared" si="266"/>
        <v>0.19205298013245034</v>
      </c>
      <c r="Q156" s="509">
        <f t="shared" si="267"/>
        <v>0.21245421245421245</v>
      </c>
      <c r="R156" s="506">
        <v>1289</v>
      </c>
      <c r="S156" s="507">
        <v>1264</v>
      </c>
      <c r="T156" s="507">
        <v>1018</v>
      </c>
      <c r="U156" s="507">
        <v>246</v>
      </c>
      <c r="V156" s="507">
        <v>244</v>
      </c>
      <c r="W156" s="508">
        <f t="shared" si="248"/>
        <v>0.19462025316455697</v>
      </c>
      <c r="X156" s="509">
        <f t="shared" si="249"/>
        <v>0.24165029469548133</v>
      </c>
      <c r="Y156" s="506">
        <v>1181</v>
      </c>
      <c r="Z156" s="507">
        <v>1152</v>
      </c>
      <c r="AA156" s="507">
        <v>944</v>
      </c>
      <c r="AB156" s="507">
        <v>203</v>
      </c>
      <c r="AC156" s="507">
        <v>200</v>
      </c>
      <c r="AD156" s="508">
        <f t="shared" si="268"/>
        <v>0.17621527777777779</v>
      </c>
      <c r="AE156" s="509">
        <f t="shared" si="269"/>
        <v>0.21504237288135594</v>
      </c>
      <c r="AF156" s="506">
        <v>1006</v>
      </c>
      <c r="AG156" s="507">
        <v>978</v>
      </c>
      <c r="AH156" s="507">
        <v>809</v>
      </c>
      <c r="AI156" s="507">
        <v>198</v>
      </c>
      <c r="AJ156" s="507">
        <v>181</v>
      </c>
      <c r="AK156" s="508">
        <f t="shared" si="270"/>
        <v>0.20245398773006135</v>
      </c>
      <c r="AL156" s="509">
        <f t="shared" si="271"/>
        <v>0.24474660074165636</v>
      </c>
      <c r="AM156" s="506">
        <v>1075</v>
      </c>
      <c r="AN156" s="507">
        <v>1047</v>
      </c>
      <c r="AO156" s="507">
        <v>854</v>
      </c>
      <c r="AP156" s="507">
        <v>156</v>
      </c>
      <c r="AQ156" s="507">
        <v>154</v>
      </c>
      <c r="AR156" s="508">
        <f t="shared" si="272"/>
        <v>0.14899713467048711</v>
      </c>
      <c r="AS156" s="509">
        <f t="shared" si="273"/>
        <v>0.18266978922716628</v>
      </c>
      <c r="AT156" s="506">
        <v>1011</v>
      </c>
      <c r="AU156" s="507">
        <v>987</v>
      </c>
      <c r="AV156" s="507">
        <v>800</v>
      </c>
      <c r="AW156" s="507">
        <v>173</v>
      </c>
      <c r="AX156" s="507">
        <v>173</v>
      </c>
      <c r="AY156" s="508">
        <f t="shared" si="274"/>
        <v>0.17527862208713271</v>
      </c>
      <c r="AZ156" s="509">
        <f t="shared" si="275"/>
        <v>0.21625</v>
      </c>
      <c r="BA156" s="506">
        <v>970</v>
      </c>
      <c r="BB156" s="507">
        <v>948</v>
      </c>
      <c r="BC156" s="507">
        <v>774</v>
      </c>
      <c r="BD156" s="507">
        <v>197</v>
      </c>
      <c r="BE156" s="507">
        <v>196</v>
      </c>
      <c r="BF156" s="508">
        <f t="shared" si="276"/>
        <v>0.20780590717299577</v>
      </c>
      <c r="BG156" s="509">
        <f t="shared" si="277"/>
        <v>0.25452196382428943</v>
      </c>
      <c r="BH156" s="506">
        <v>982</v>
      </c>
      <c r="BI156" s="507">
        <v>957</v>
      </c>
      <c r="BJ156" s="507">
        <v>767</v>
      </c>
      <c r="BK156" s="507">
        <v>199</v>
      </c>
      <c r="BL156" s="507">
        <v>199</v>
      </c>
      <c r="BM156" s="508">
        <f t="shared" si="278"/>
        <v>0.20794148380355276</v>
      </c>
      <c r="BN156" s="509">
        <f t="shared" si="279"/>
        <v>0.25945241199478486</v>
      </c>
      <c r="BO156" s="506">
        <v>918</v>
      </c>
      <c r="BP156" s="507">
        <v>901</v>
      </c>
      <c r="BQ156" s="507">
        <v>741</v>
      </c>
      <c r="BR156" s="507">
        <v>195</v>
      </c>
      <c r="BS156" s="507">
        <v>194</v>
      </c>
      <c r="BT156" s="508">
        <f t="shared" si="280"/>
        <v>0.21642619311875694</v>
      </c>
      <c r="BU156" s="509">
        <f t="shared" si="281"/>
        <v>0.26315789473684209</v>
      </c>
      <c r="BV156" s="506">
        <v>1137</v>
      </c>
      <c r="BW156" s="507">
        <v>1098</v>
      </c>
      <c r="BX156" s="507">
        <v>883</v>
      </c>
      <c r="BY156" s="507">
        <v>224</v>
      </c>
      <c r="BZ156" s="507">
        <v>224</v>
      </c>
      <c r="CA156" s="508">
        <f t="shared" si="282"/>
        <v>0.2040072859744991</v>
      </c>
      <c r="CB156" s="509">
        <f t="shared" si="283"/>
        <v>0.25368063420158549</v>
      </c>
      <c r="CC156" s="506">
        <v>1100</v>
      </c>
      <c r="CD156" s="507">
        <v>1068</v>
      </c>
      <c r="CE156" s="507">
        <v>801</v>
      </c>
      <c r="CF156" s="507">
        <v>203</v>
      </c>
      <c r="CG156" s="507">
        <v>203</v>
      </c>
      <c r="CH156" s="508">
        <f t="shared" si="254"/>
        <v>0.19007490636704119</v>
      </c>
      <c r="CI156" s="509">
        <f t="shared" si="255"/>
        <v>0.25343320848938827</v>
      </c>
      <c r="CJ156" s="506">
        <v>1214</v>
      </c>
      <c r="CK156" s="507">
        <v>1166</v>
      </c>
      <c r="CL156" s="507">
        <v>875</v>
      </c>
      <c r="CM156" s="507">
        <v>201</v>
      </c>
      <c r="CN156" s="507">
        <v>182</v>
      </c>
      <c r="CO156" s="508">
        <f t="shared" si="284"/>
        <v>0.17238421955403088</v>
      </c>
      <c r="CP156" s="508">
        <f t="shared" si="285"/>
        <v>0.2297142857142857</v>
      </c>
      <c r="CQ156" s="508">
        <v>0.17238421955403088</v>
      </c>
      <c r="CR156" s="509">
        <v>0.2297142857142857</v>
      </c>
      <c r="CS156" s="506">
        <v>1042</v>
      </c>
      <c r="CT156" s="507">
        <v>1022</v>
      </c>
      <c r="CU156" s="507">
        <v>804</v>
      </c>
      <c r="CV156" s="507">
        <v>175</v>
      </c>
      <c r="CW156" s="507">
        <v>174</v>
      </c>
      <c r="CX156" s="508">
        <f t="shared" si="286"/>
        <v>0.17123287671232876</v>
      </c>
      <c r="CY156" s="508">
        <f t="shared" si="287"/>
        <v>0.21766169154228857</v>
      </c>
      <c r="CZ156" s="508">
        <v>0.17123287671232876</v>
      </c>
      <c r="DA156" s="509">
        <v>0.21766169154228857</v>
      </c>
      <c r="DB156" s="506">
        <v>1056</v>
      </c>
      <c r="DC156" s="507">
        <v>1024</v>
      </c>
      <c r="DD156" s="507">
        <v>807</v>
      </c>
      <c r="DE156" s="507">
        <v>207</v>
      </c>
      <c r="DF156" s="507">
        <v>207</v>
      </c>
      <c r="DG156" s="508">
        <f t="shared" si="288"/>
        <v>0.2021484375</v>
      </c>
      <c r="DH156" s="508">
        <f t="shared" si="289"/>
        <v>0.25650557620817843</v>
      </c>
      <c r="DI156" s="508">
        <v>0.2021484375</v>
      </c>
      <c r="DJ156" s="509">
        <v>0.25650557620817843</v>
      </c>
      <c r="DK156" s="506">
        <v>1102</v>
      </c>
      <c r="DL156" s="507">
        <v>1047</v>
      </c>
      <c r="DM156" s="507">
        <v>863</v>
      </c>
      <c r="DN156" s="507">
        <v>200</v>
      </c>
      <c r="DO156" s="507">
        <v>200</v>
      </c>
      <c r="DP156" s="508">
        <f t="shared" si="290"/>
        <v>0.19102196752626552</v>
      </c>
      <c r="DQ156" s="508">
        <f t="shared" si="291"/>
        <v>0.23174971031286212</v>
      </c>
      <c r="DR156" s="508">
        <v>0.19102196752626552</v>
      </c>
      <c r="DS156" s="509">
        <v>0.23174971031286212</v>
      </c>
      <c r="DT156" s="506">
        <v>1377</v>
      </c>
      <c r="DU156" s="507">
        <v>1274</v>
      </c>
      <c r="DV156" s="507">
        <v>1090</v>
      </c>
      <c r="DW156" s="507">
        <v>218</v>
      </c>
      <c r="DX156" s="507">
        <v>216</v>
      </c>
      <c r="DY156" s="508">
        <f t="shared" si="292"/>
        <v>0.17111459968602827</v>
      </c>
      <c r="DZ156" s="508">
        <f t="shared" si="293"/>
        <v>0.2</v>
      </c>
      <c r="EA156" s="508">
        <v>0.17111459968602827</v>
      </c>
      <c r="EB156" s="509">
        <v>0.2</v>
      </c>
    </row>
    <row r="157" spans="1:132" s="2" customFormat="1" x14ac:dyDescent="0.25">
      <c r="A157" s="557" t="s">
        <v>389</v>
      </c>
      <c r="B157" s="526" t="s">
        <v>397</v>
      </c>
      <c r="C157" s="527" t="s">
        <v>398</v>
      </c>
      <c r="D157" s="506">
        <v>933</v>
      </c>
      <c r="E157" s="507">
        <v>840</v>
      </c>
      <c r="F157" s="507">
        <v>578</v>
      </c>
      <c r="G157" s="507">
        <v>518</v>
      </c>
      <c r="H157" s="507">
        <v>438</v>
      </c>
      <c r="I157" s="508">
        <f t="shared" si="250"/>
        <v>0.6166666666666667</v>
      </c>
      <c r="J157" s="509">
        <f t="shared" si="251"/>
        <v>0.89619377162629754</v>
      </c>
      <c r="K157" s="506">
        <v>952</v>
      </c>
      <c r="L157" s="507">
        <v>886</v>
      </c>
      <c r="M157" s="507">
        <v>581</v>
      </c>
      <c r="N157" s="507">
        <v>564</v>
      </c>
      <c r="O157" s="507">
        <v>508</v>
      </c>
      <c r="P157" s="508">
        <f t="shared" si="266"/>
        <v>0.63656884875846498</v>
      </c>
      <c r="Q157" s="509">
        <f t="shared" si="267"/>
        <v>0.97074010327022375</v>
      </c>
      <c r="R157" s="506">
        <v>879</v>
      </c>
      <c r="S157" s="507">
        <v>816</v>
      </c>
      <c r="T157" s="507">
        <v>666</v>
      </c>
      <c r="U157" s="507">
        <v>502</v>
      </c>
      <c r="V157" s="507">
        <v>447</v>
      </c>
      <c r="W157" s="508">
        <f t="shared" si="248"/>
        <v>0.61519607843137258</v>
      </c>
      <c r="X157" s="509">
        <f t="shared" si="249"/>
        <v>0.75375375375375375</v>
      </c>
      <c r="Y157" s="506">
        <v>798</v>
      </c>
      <c r="Z157" s="507">
        <v>715</v>
      </c>
      <c r="AA157" s="507">
        <v>516</v>
      </c>
      <c r="AB157" s="507">
        <v>460</v>
      </c>
      <c r="AC157" s="507">
        <v>421</v>
      </c>
      <c r="AD157" s="508">
        <f t="shared" si="268"/>
        <v>0.64335664335664333</v>
      </c>
      <c r="AE157" s="509">
        <f t="shared" si="269"/>
        <v>0.89147286821705429</v>
      </c>
      <c r="AF157" s="506">
        <v>929</v>
      </c>
      <c r="AG157" s="507">
        <v>796</v>
      </c>
      <c r="AH157" s="507">
        <v>764</v>
      </c>
      <c r="AI157" s="507">
        <v>513</v>
      </c>
      <c r="AJ157" s="507">
        <v>470</v>
      </c>
      <c r="AK157" s="508">
        <f t="shared" si="270"/>
        <v>0.64447236180904521</v>
      </c>
      <c r="AL157" s="509">
        <f t="shared" si="271"/>
        <v>0.67146596858638741</v>
      </c>
      <c r="AM157" s="506">
        <v>916</v>
      </c>
      <c r="AN157" s="507">
        <v>803</v>
      </c>
      <c r="AO157" s="507">
        <v>765</v>
      </c>
      <c r="AP157" s="507">
        <v>542</v>
      </c>
      <c r="AQ157" s="507">
        <v>475</v>
      </c>
      <c r="AR157" s="508">
        <f t="shared" si="272"/>
        <v>0.6749688667496887</v>
      </c>
      <c r="AS157" s="509">
        <f t="shared" si="273"/>
        <v>0.70849673202614383</v>
      </c>
      <c r="AT157" s="506">
        <v>704</v>
      </c>
      <c r="AU157" s="507">
        <v>636</v>
      </c>
      <c r="AV157" s="507">
        <v>498</v>
      </c>
      <c r="AW157" s="507">
        <v>440</v>
      </c>
      <c r="AX157" s="507">
        <v>385</v>
      </c>
      <c r="AY157" s="508">
        <f t="shared" si="274"/>
        <v>0.69182389937106914</v>
      </c>
      <c r="AZ157" s="509">
        <f t="shared" si="275"/>
        <v>0.88353413654618473</v>
      </c>
      <c r="BA157" s="506">
        <v>657</v>
      </c>
      <c r="BB157" s="507">
        <v>567</v>
      </c>
      <c r="BC157" s="507">
        <v>444</v>
      </c>
      <c r="BD157" s="507">
        <v>401</v>
      </c>
      <c r="BE157" s="507">
        <v>350</v>
      </c>
      <c r="BF157" s="508">
        <f t="shared" si="276"/>
        <v>0.70723104056437391</v>
      </c>
      <c r="BG157" s="509">
        <f t="shared" si="277"/>
        <v>0.90315315315315314</v>
      </c>
      <c r="BH157" s="506">
        <v>626</v>
      </c>
      <c r="BI157" s="507">
        <v>552</v>
      </c>
      <c r="BJ157" s="507">
        <v>552</v>
      </c>
      <c r="BK157" s="507">
        <v>405</v>
      </c>
      <c r="BL157" s="507">
        <v>362</v>
      </c>
      <c r="BM157" s="508">
        <f t="shared" si="278"/>
        <v>0.73369565217391308</v>
      </c>
      <c r="BN157" s="509">
        <f t="shared" si="279"/>
        <v>0.73369565217391308</v>
      </c>
      <c r="BO157" s="506">
        <v>656</v>
      </c>
      <c r="BP157" s="507">
        <v>553</v>
      </c>
      <c r="BQ157" s="507">
        <v>553</v>
      </c>
      <c r="BR157" s="507">
        <v>405</v>
      </c>
      <c r="BS157" s="507">
        <v>361</v>
      </c>
      <c r="BT157" s="508">
        <f t="shared" si="280"/>
        <v>0.73236889692585894</v>
      </c>
      <c r="BU157" s="509">
        <f t="shared" si="281"/>
        <v>0.73236889692585894</v>
      </c>
      <c r="BV157" s="506">
        <v>907</v>
      </c>
      <c r="BW157" s="507">
        <v>776</v>
      </c>
      <c r="BX157" s="507">
        <v>776</v>
      </c>
      <c r="BY157" s="507">
        <v>546</v>
      </c>
      <c r="BZ157" s="507">
        <v>492</v>
      </c>
      <c r="CA157" s="508">
        <f t="shared" si="282"/>
        <v>0.70360824742268047</v>
      </c>
      <c r="CB157" s="509">
        <f t="shared" si="283"/>
        <v>0.70360824742268047</v>
      </c>
      <c r="CC157" s="506">
        <v>925</v>
      </c>
      <c r="CD157" s="507">
        <v>844</v>
      </c>
      <c r="CE157" s="507">
        <v>844</v>
      </c>
      <c r="CF157" s="507">
        <v>809</v>
      </c>
      <c r="CG157" s="507">
        <v>545</v>
      </c>
      <c r="CH157" s="508">
        <f t="shared" si="254"/>
        <v>0.95853080568720384</v>
      </c>
      <c r="CI157" s="509">
        <f t="shared" si="255"/>
        <v>0.95853080568720384</v>
      </c>
      <c r="CJ157" s="506">
        <v>782</v>
      </c>
      <c r="CK157" s="507">
        <v>670</v>
      </c>
      <c r="CL157" s="507">
        <v>670</v>
      </c>
      <c r="CM157" s="507">
        <v>670</v>
      </c>
      <c r="CN157" s="507">
        <v>410</v>
      </c>
      <c r="CO157" s="508">
        <f t="shared" si="284"/>
        <v>1</v>
      </c>
      <c r="CP157" s="508">
        <f t="shared" si="285"/>
        <v>1</v>
      </c>
      <c r="CQ157" s="508">
        <v>1</v>
      </c>
      <c r="CR157" s="509">
        <v>1</v>
      </c>
      <c r="CS157" s="506">
        <v>895</v>
      </c>
      <c r="CT157" s="507">
        <v>713</v>
      </c>
      <c r="CU157" s="507">
        <v>623</v>
      </c>
      <c r="CV157" s="507">
        <v>453</v>
      </c>
      <c r="CW157" s="507">
        <v>403</v>
      </c>
      <c r="CX157" s="508">
        <f t="shared" si="286"/>
        <v>0.63534361851332399</v>
      </c>
      <c r="CY157" s="508">
        <f t="shared" si="287"/>
        <v>0.7271268057784912</v>
      </c>
      <c r="CZ157" s="508">
        <v>0.63534361851332399</v>
      </c>
      <c r="DA157" s="509">
        <v>0.7271268057784912</v>
      </c>
      <c r="DB157" s="506">
        <v>939</v>
      </c>
      <c r="DC157" s="507">
        <v>736</v>
      </c>
      <c r="DD157" s="507">
        <v>736</v>
      </c>
      <c r="DE157" s="507">
        <v>439</v>
      </c>
      <c r="DF157" s="507">
        <v>390</v>
      </c>
      <c r="DG157" s="508">
        <f t="shared" si="288"/>
        <v>0.59646739130434778</v>
      </c>
      <c r="DH157" s="508">
        <f t="shared" si="289"/>
        <v>0.59646739130434778</v>
      </c>
      <c r="DI157" s="508">
        <v>0.59646739130434778</v>
      </c>
      <c r="DJ157" s="509">
        <v>0.59646739130434778</v>
      </c>
      <c r="DK157" s="506">
        <v>940</v>
      </c>
      <c r="DL157" s="507">
        <v>742</v>
      </c>
      <c r="DM157" s="507">
        <v>742</v>
      </c>
      <c r="DN157" s="507">
        <v>442</v>
      </c>
      <c r="DO157" s="507">
        <v>402</v>
      </c>
      <c r="DP157" s="508">
        <f t="shared" si="290"/>
        <v>0.59568733153638809</v>
      </c>
      <c r="DQ157" s="508">
        <f t="shared" si="291"/>
        <v>0.59568733153638809</v>
      </c>
      <c r="DR157" s="508">
        <v>0.59568733153638809</v>
      </c>
      <c r="DS157" s="509">
        <v>0.59568733153638809</v>
      </c>
      <c r="DT157" s="506">
        <v>1034</v>
      </c>
      <c r="DU157" s="507">
        <v>813</v>
      </c>
      <c r="DV157" s="507">
        <v>813</v>
      </c>
      <c r="DW157" s="507">
        <v>436</v>
      </c>
      <c r="DX157" s="507">
        <v>379</v>
      </c>
      <c r="DY157" s="508">
        <f t="shared" si="292"/>
        <v>0.53628536285362849</v>
      </c>
      <c r="DZ157" s="508">
        <f t="shared" si="293"/>
        <v>0.53628536285362849</v>
      </c>
      <c r="EA157" s="508">
        <v>0.53628536285362849</v>
      </c>
      <c r="EB157" s="509">
        <v>0.53628536285362849</v>
      </c>
    </row>
    <row r="158" spans="1:132" s="2" customFormat="1" x14ac:dyDescent="0.25">
      <c r="A158" s="557" t="s">
        <v>389</v>
      </c>
      <c r="B158" s="526" t="s">
        <v>399</v>
      </c>
      <c r="C158" s="527" t="s">
        <v>400</v>
      </c>
      <c r="D158" s="506">
        <v>2974</v>
      </c>
      <c r="E158" s="507">
        <v>2811</v>
      </c>
      <c r="F158" s="507">
        <v>2603</v>
      </c>
      <c r="G158" s="507">
        <v>1238</v>
      </c>
      <c r="H158" s="507">
        <v>1036</v>
      </c>
      <c r="I158" s="508">
        <f t="shared" si="250"/>
        <v>0.44041266453219496</v>
      </c>
      <c r="J158" s="509">
        <f t="shared" si="251"/>
        <v>0.47560507107184019</v>
      </c>
      <c r="K158" s="506">
        <v>3135</v>
      </c>
      <c r="L158" s="507">
        <v>2857</v>
      </c>
      <c r="M158" s="507">
        <v>2670</v>
      </c>
      <c r="N158" s="507">
        <v>1263</v>
      </c>
      <c r="O158" s="507">
        <v>1026</v>
      </c>
      <c r="P158" s="508">
        <f t="shared" si="266"/>
        <v>0.44207210360518023</v>
      </c>
      <c r="Q158" s="509">
        <f t="shared" si="267"/>
        <v>0.47303370786516852</v>
      </c>
      <c r="R158" s="506">
        <v>3000</v>
      </c>
      <c r="S158" s="507">
        <v>2715</v>
      </c>
      <c r="T158" s="507">
        <v>2516</v>
      </c>
      <c r="U158" s="507">
        <v>1177</v>
      </c>
      <c r="V158" s="507">
        <v>1119</v>
      </c>
      <c r="W158" s="508">
        <f t="shared" si="248"/>
        <v>0.43351749539594842</v>
      </c>
      <c r="X158" s="509">
        <f t="shared" si="249"/>
        <v>0.46780604133545312</v>
      </c>
      <c r="Y158" s="506">
        <v>2815</v>
      </c>
      <c r="Z158" s="507">
        <v>2510</v>
      </c>
      <c r="AA158" s="507">
        <v>2395</v>
      </c>
      <c r="AB158" s="507">
        <v>1011</v>
      </c>
      <c r="AC158" s="507">
        <v>924</v>
      </c>
      <c r="AD158" s="508">
        <f t="shared" si="268"/>
        <v>0.40278884462151393</v>
      </c>
      <c r="AE158" s="509">
        <f t="shared" si="269"/>
        <v>0.42212943632567851</v>
      </c>
      <c r="AF158" s="506">
        <v>2896</v>
      </c>
      <c r="AG158" s="507">
        <v>2539</v>
      </c>
      <c r="AH158" s="507">
        <v>2446</v>
      </c>
      <c r="AI158" s="507">
        <v>943</v>
      </c>
      <c r="AJ158" s="507">
        <v>845</v>
      </c>
      <c r="AK158" s="508">
        <f t="shared" si="270"/>
        <v>0.37140606538007087</v>
      </c>
      <c r="AL158" s="509">
        <f t="shared" si="271"/>
        <v>0.38552739165985284</v>
      </c>
      <c r="AM158" s="506">
        <v>2273</v>
      </c>
      <c r="AN158" s="507">
        <v>1910</v>
      </c>
      <c r="AO158" s="507">
        <v>1910</v>
      </c>
      <c r="AP158" s="507">
        <v>750</v>
      </c>
      <c r="AQ158" s="507">
        <v>690</v>
      </c>
      <c r="AR158" s="508">
        <f t="shared" si="272"/>
        <v>0.39267015706806285</v>
      </c>
      <c r="AS158" s="509">
        <f t="shared" si="273"/>
        <v>0.39267015706806285</v>
      </c>
      <c r="AT158" s="506">
        <v>2168</v>
      </c>
      <c r="AU158" s="507">
        <v>1801</v>
      </c>
      <c r="AV158" s="507">
        <v>1801</v>
      </c>
      <c r="AW158" s="507">
        <v>727</v>
      </c>
      <c r="AX158" s="507">
        <v>657</v>
      </c>
      <c r="AY158" s="508">
        <f t="shared" si="274"/>
        <v>0.40366463076068848</v>
      </c>
      <c r="AZ158" s="509">
        <f t="shared" si="275"/>
        <v>0.40366463076068848</v>
      </c>
      <c r="BA158" s="506">
        <v>1915</v>
      </c>
      <c r="BB158" s="507">
        <v>1601</v>
      </c>
      <c r="BC158" s="507">
        <v>1601</v>
      </c>
      <c r="BD158" s="507">
        <v>779</v>
      </c>
      <c r="BE158" s="507">
        <v>706</v>
      </c>
      <c r="BF158" s="508">
        <f t="shared" si="276"/>
        <v>0.48657089319175517</v>
      </c>
      <c r="BG158" s="509">
        <f t="shared" si="277"/>
        <v>0.48657089319175517</v>
      </c>
      <c r="BH158" s="506">
        <v>1788</v>
      </c>
      <c r="BI158" s="507">
        <v>1500</v>
      </c>
      <c r="BJ158" s="507">
        <v>1500</v>
      </c>
      <c r="BK158" s="507">
        <v>775</v>
      </c>
      <c r="BL158" s="507">
        <v>718</v>
      </c>
      <c r="BM158" s="508">
        <f t="shared" si="278"/>
        <v>0.51666666666666672</v>
      </c>
      <c r="BN158" s="509">
        <f t="shared" si="279"/>
        <v>0.51666666666666672</v>
      </c>
      <c r="BO158" s="506">
        <v>1531</v>
      </c>
      <c r="BP158" s="507">
        <v>1301</v>
      </c>
      <c r="BQ158" s="507">
        <v>1301</v>
      </c>
      <c r="BR158" s="507">
        <v>658</v>
      </c>
      <c r="BS158" s="507">
        <v>607</v>
      </c>
      <c r="BT158" s="508">
        <f t="shared" si="280"/>
        <v>0.5057647963105304</v>
      </c>
      <c r="BU158" s="509">
        <f t="shared" si="281"/>
        <v>0.5057647963105304</v>
      </c>
      <c r="BV158" s="506">
        <v>1890</v>
      </c>
      <c r="BW158" s="507">
        <v>1591</v>
      </c>
      <c r="BX158" s="507">
        <v>1591</v>
      </c>
      <c r="BY158" s="507">
        <v>864</v>
      </c>
      <c r="BZ158" s="507">
        <v>695</v>
      </c>
      <c r="CA158" s="508">
        <f t="shared" si="282"/>
        <v>0.54305468258956635</v>
      </c>
      <c r="CB158" s="509">
        <f t="shared" si="283"/>
        <v>0.54305468258956635</v>
      </c>
      <c r="CC158" s="506">
        <v>1808</v>
      </c>
      <c r="CD158" s="507">
        <v>1535</v>
      </c>
      <c r="CE158" s="507">
        <v>1535</v>
      </c>
      <c r="CF158" s="507">
        <v>855</v>
      </c>
      <c r="CG158" s="507">
        <v>678</v>
      </c>
      <c r="CH158" s="508">
        <f t="shared" si="254"/>
        <v>0.55700325732899025</v>
      </c>
      <c r="CI158" s="509">
        <f t="shared" si="255"/>
        <v>0.55700325732899025</v>
      </c>
      <c r="CJ158" s="506">
        <v>1985</v>
      </c>
      <c r="CK158" s="507">
        <v>1700</v>
      </c>
      <c r="CL158" s="507">
        <v>1700</v>
      </c>
      <c r="CM158" s="507">
        <v>747</v>
      </c>
      <c r="CN158" s="507">
        <v>623</v>
      </c>
      <c r="CO158" s="508">
        <f t="shared" si="284"/>
        <v>0.43941176470588234</v>
      </c>
      <c r="CP158" s="508">
        <f t="shared" si="285"/>
        <v>0.43941176470588234</v>
      </c>
      <c r="CQ158" s="508">
        <v>0.43941176470588234</v>
      </c>
      <c r="CR158" s="509">
        <v>0.43941176470588234</v>
      </c>
      <c r="CS158" s="506">
        <v>2289</v>
      </c>
      <c r="CT158" s="507">
        <v>1932</v>
      </c>
      <c r="CU158" s="507">
        <v>1932</v>
      </c>
      <c r="CV158" s="507">
        <v>682</v>
      </c>
      <c r="CW158" s="507">
        <v>611</v>
      </c>
      <c r="CX158" s="508">
        <f t="shared" si="286"/>
        <v>0.35300207039337472</v>
      </c>
      <c r="CY158" s="508">
        <f t="shared" si="287"/>
        <v>0.35300207039337472</v>
      </c>
      <c r="CZ158" s="508">
        <v>0.35300207039337472</v>
      </c>
      <c r="DA158" s="509">
        <v>0.35300207039337472</v>
      </c>
      <c r="DB158" s="506">
        <v>2178</v>
      </c>
      <c r="DC158" s="507">
        <v>1822</v>
      </c>
      <c r="DD158" s="507">
        <v>1822</v>
      </c>
      <c r="DE158" s="507">
        <v>670</v>
      </c>
      <c r="DF158" s="507">
        <v>617</v>
      </c>
      <c r="DG158" s="508">
        <f t="shared" si="288"/>
        <v>0.36772777167947313</v>
      </c>
      <c r="DH158" s="508">
        <f t="shared" si="289"/>
        <v>0.36772777167947313</v>
      </c>
      <c r="DI158" s="508">
        <v>0.36772777167947313</v>
      </c>
      <c r="DJ158" s="509">
        <v>0.36772777167947313</v>
      </c>
      <c r="DK158" s="506">
        <v>2171</v>
      </c>
      <c r="DL158" s="507">
        <v>1800</v>
      </c>
      <c r="DM158" s="507">
        <v>1800</v>
      </c>
      <c r="DN158" s="507">
        <v>616</v>
      </c>
      <c r="DO158" s="507">
        <v>613</v>
      </c>
      <c r="DP158" s="508">
        <f t="shared" si="290"/>
        <v>0.34222222222222221</v>
      </c>
      <c r="DQ158" s="508">
        <f t="shared" si="291"/>
        <v>0.34222222222222221</v>
      </c>
      <c r="DR158" s="508">
        <v>0.34222222222222221</v>
      </c>
      <c r="DS158" s="509">
        <v>0.34222222222222221</v>
      </c>
      <c r="DT158" s="506">
        <v>2264</v>
      </c>
      <c r="DU158" s="507">
        <v>1819</v>
      </c>
      <c r="DV158" s="507">
        <v>1805</v>
      </c>
      <c r="DW158" s="507">
        <v>776</v>
      </c>
      <c r="DX158" s="507">
        <v>775</v>
      </c>
      <c r="DY158" s="508">
        <f t="shared" si="292"/>
        <v>0.42660802638812534</v>
      </c>
      <c r="DZ158" s="508">
        <f t="shared" si="293"/>
        <v>0.42991689750692519</v>
      </c>
      <c r="EA158" s="508">
        <v>0.42660802638812534</v>
      </c>
      <c r="EB158" s="509">
        <v>0.42991689750692519</v>
      </c>
    </row>
    <row r="159" spans="1:132" s="2" customFormat="1" x14ac:dyDescent="0.25">
      <c r="A159" s="557" t="s">
        <v>389</v>
      </c>
      <c r="B159" s="572" t="s">
        <v>401</v>
      </c>
      <c r="C159" s="527" t="s">
        <v>402</v>
      </c>
      <c r="D159" s="528">
        <v>185</v>
      </c>
      <c r="E159" s="529">
        <v>180</v>
      </c>
      <c r="F159" s="529">
        <v>171</v>
      </c>
      <c r="G159" s="529">
        <v>171</v>
      </c>
      <c r="H159" s="529">
        <v>156</v>
      </c>
      <c r="I159" s="530">
        <f t="shared" si="250"/>
        <v>0.95</v>
      </c>
      <c r="J159" s="531">
        <f t="shared" si="251"/>
        <v>1</v>
      </c>
      <c r="K159" s="528">
        <v>1435</v>
      </c>
      <c r="L159" s="529">
        <v>1405</v>
      </c>
      <c r="M159" s="529">
        <v>1405</v>
      </c>
      <c r="N159" s="529">
        <v>294</v>
      </c>
      <c r="O159" s="529">
        <v>209</v>
      </c>
      <c r="P159" s="530">
        <f t="shared" si="266"/>
        <v>0.20925266903914591</v>
      </c>
      <c r="Q159" s="531">
        <f t="shared" si="267"/>
        <v>0.20925266903914591</v>
      </c>
      <c r="R159" s="528">
        <v>763</v>
      </c>
      <c r="S159" s="529">
        <v>650</v>
      </c>
      <c r="T159" s="529">
        <v>650</v>
      </c>
      <c r="U159" s="529">
        <v>496</v>
      </c>
      <c r="V159" s="529">
        <v>418</v>
      </c>
      <c r="W159" s="530">
        <f t="shared" si="248"/>
        <v>0.7630769230769231</v>
      </c>
      <c r="X159" s="531">
        <f t="shared" si="249"/>
        <v>0.7630769230769231</v>
      </c>
      <c r="Y159" s="528">
        <v>768</v>
      </c>
      <c r="Z159" s="529">
        <v>696</v>
      </c>
      <c r="AA159" s="529">
        <v>696</v>
      </c>
      <c r="AB159" s="529">
        <v>652</v>
      </c>
      <c r="AC159" s="529">
        <v>456</v>
      </c>
      <c r="AD159" s="530">
        <f t="shared" si="268"/>
        <v>0.93678160919540232</v>
      </c>
      <c r="AE159" s="531">
        <f t="shared" si="269"/>
        <v>0.93678160919540232</v>
      </c>
      <c r="AF159" s="528">
        <v>946</v>
      </c>
      <c r="AG159" s="529">
        <v>771</v>
      </c>
      <c r="AH159" s="529">
        <v>771</v>
      </c>
      <c r="AI159" s="529">
        <v>620</v>
      </c>
      <c r="AJ159" s="529">
        <v>404</v>
      </c>
      <c r="AK159" s="530">
        <f t="shared" si="270"/>
        <v>0.80415045395590146</v>
      </c>
      <c r="AL159" s="531">
        <f t="shared" si="271"/>
        <v>0.80415045395590146</v>
      </c>
      <c r="AM159" s="528">
        <v>718</v>
      </c>
      <c r="AN159" s="529">
        <v>626</v>
      </c>
      <c r="AO159" s="529">
        <v>626</v>
      </c>
      <c r="AP159" s="529">
        <v>558</v>
      </c>
      <c r="AQ159" s="529">
        <v>397</v>
      </c>
      <c r="AR159" s="530">
        <f t="shared" si="272"/>
        <v>0.89137380191693294</v>
      </c>
      <c r="AS159" s="531">
        <f t="shared" si="273"/>
        <v>0.89137380191693294</v>
      </c>
      <c r="AT159" s="528">
        <v>583</v>
      </c>
      <c r="AU159" s="529">
        <v>508</v>
      </c>
      <c r="AV159" s="529">
        <v>501</v>
      </c>
      <c r="AW159" s="529">
        <v>387</v>
      </c>
      <c r="AX159" s="529">
        <v>344</v>
      </c>
      <c r="AY159" s="530">
        <f t="shared" si="274"/>
        <v>0.76181102362204722</v>
      </c>
      <c r="AZ159" s="531">
        <f t="shared" si="275"/>
        <v>0.77245508982035926</v>
      </c>
      <c r="BA159" s="528">
        <v>678</v>
      </c>
      <c r="BB159" s="529">
        <v>584</v>
      </c>
      <c r="BC159" s="529">
        <v>584</v>
      </c>
      <c r="BD159" s="529">
        <v>471</v>
      </c>
      <c r="BE159" s="529">
        <v>411</v>
      </c>
      <c r="BF159" s="530">
        <f t="shared" si="276"/>
        <v>0.80650684931506844</v>
      </c>
      <c r="BG159" s="531">
        <f t="shared" si="277"/>
        <v>0.80650684931506844</v>
      </c>
      <c r="BH159" s="528">
        <v>567</v>
      </c>
      <c r="BI159" s="529">
        <v>511</v>
      </c>
      <c r="BJ159" s="529">
        <v>511</v>
      </c>
      <c r="BK159" s="529">
        <v>379</v>
      </c>
      <c r="BL159" s="529">
        <v>337</v>
      </c>
      <c r="BM159" s="530">
        <f t="shared" si="278"/>
        <v>0.7416829745596869</v>
      </c>
      <c r="BN159" s="531">
        <f t="shared" si="279"/>
        <v>0.7416829745596869</v>
      </c>
      <c r="BO159" s="528">
        <v>695</v>
      </c>
      <c r="BP159" s="529">
        <v>641</v>
      </c>
      <c r="BQ159" s="529">
        <v>641</v>
      </c>
      <c r="BR159" s="529">
        <v>490</v>
      </c>
      <c r="BS159" s="529">
        <v>405</v>
      </c>
      <c r="BT159" s="530">
        <f t="shared" si="280"/>
        <v>0.76443057722308894</v>
      </c>
      <c r="BU159" s="531">
        <f t="shared" si="281"/>
        <v>0.76443057722308894</v>
      </c>
      <c r="BV159" s="528">
        <v>872</v>
      </c>
      <c r="BW159" s="529">
        <v>807</v>
      </c>
      <c r="BX159" s="529">
        <v>807</v>
      </c>
      <c r="BY159" s="529">
        <v>629</v>
      </c>
      <c r="BZ159" s="529">
        <v>485</v>
      </c>
      <c r="CA159" s="530">
        <f t="shared" si="282"/>
        <v>0.7794299876084263</v>
      </c>
      <c r="CB159" s="531">
        <f t="shared" si="283"/>
        <v>0.7794299876084263</v>
      </c>
      <c r="CC159" s="528">
        <v>792</v>
      </c>
      <c r="CD159" s="529">
        <v>764</v>
      </c>
      <c r="CE159" s="529">
        <v>764</v>
      </c>
      <c r="CF159" s="529">
        <v>754</v>
      </c>
      <c r="CG159" s="529">
        <v>506</v>
      </c>
      <c r="CH159" s="530">
        <f t="shared" si="254"/>
        <v>0.98691099476439792</v>
      </c>
      <c r="CI159" s="531">
        <f t="shared" si="255"/>
        <v>0.98691099476439792</v>
      </c>
      <c r="CJ159" s="528">
        <v>925</v>
      </c>
      <c r="CK159" s="529">
        <v>860</v>
      </c>
      <c r="CL159" s="529">
        <v>860</v>
      </c>
      <c r="CM159" s="529">
        <v>856</v>
      </c>
      <c r="CN159" s="529">
        <v>535</v>
      </c>
      <c r="CO159" s="530">
        <f t="shared" si="284"/>
        <v>0.99534883720930234</v>
      </c>
      <c r="CP159" s="530">
        <f t="shared" si="285"/>
        <v>0.99534883720930234</v>
      </c>
      <c r="CQ159" s="530">
        <v>0.99534883720930234</v>
      </c>
      <c r="CR159" s="531">
        <v>0.99534883720930234</v>
      </c>
      <c r="CS159" s="528">
        <v>861</v>
      </c>
      <c r="CT159" s="529">
        <v>784</v>
      </c>
      <c r="CU159" s="529">
        <v>784</v>
      </c>
      <c r="CV159" s="529">
        <v>603</v>
      </c>
      <c r="CW159" s="529">
        <v>458</v>
      </c>
      <c r="CX159" s="530">
        <f t="shared" si="286"/>
        <v>0.76913265306122447</v>
      </c>
      <c r="CY159" s="530">
        <f t="shared" si="287"/>
        <v>0.76913265306122447</v>
      </c>
      <c r="CZ159" s="530">
        <v>0.76913265306122447</v>
      </c>
      <c r="DA159" s="531">
        <v>0.76913265306122447</v>
      </c>
      <c r="DB159" s="528">
        <v>872</v>
      </c>
      <c r="DC159" s="529">
        <v>795</v>
      </c>
      <c r="DD159" s="529">
        <v>795</v>
      </c>
      <c r="DE159" s="529">
        <v>596</v>
      </c>
      <c r="DF159" s="529">
        <v>477</v>
      </c>
      <c r="DG159" s="530">
        <f t="shared" si="288"/>
        <v>0.74968553459119491</v>
      </c>
      <c r="DH159" s="530">
        <f t="shared" si="289"/>
        <v>0.74968553459119491</v>
      </c>
      <c r="DI159" s="530">
        <v>0.74968553459119491</v>
      </c>
      <c r="DJ159" s="531">
        <v>0.74968553459119491</v>
      </c>
      <c r="DK159" s="528">
        <v>1054</v>
      </c>
      <c r="DL159" s="529">
        <v>937</v>
      </c>
      <c r="DM159" s="529">
        <v>937</v>
      </c>
      <c r="DN159" s="529">
        <v>652</v>
      </c>
      <c r="DO159" s="529">
        <v>532</v>
      </c>
      <c r="DP159" s="530">
        <f t="shared" si="290"/>
        <v>0.695837780149413</v>
      </c>
      <c r="DQ159" s="530">
        <f t="shared" si="291"/>
        <v>0.695837780149413</v>
      </c>
      <c r="DR159" s="530">
        <v>0.695837780149413</v>
      </c>
      <c r="DS159" s="531">
        <v>0.695837780149413</v>
      </c>
      <c r="DT159" s="528">
        <v>1053</v>
      </c>
      <c r="DU159" s="529">
        <v>897</v>
      </c>
      <c r="DV159" s="529">
        <v>897</v>
      </c>
      <c r="DW159" s="529">
        <v>642</v>
      </c>
      <c r="DX159" s="529">
        <v>487</v>
      </c>
      <c r="DY159" s="530">
        <f t="shared" si="292"/>
        <v>0.71571906354515047</v>
      </c>
      <c r="DZ159" s="530">
        <f t="shared" si="293"/>
        <v>0.71571906354515047</v>
      </c>
      <c r="EA159" s="530">
        <v>0.71571906354515047</v>
      </c>
      <c r="EB159" s="531">
        <v>0.71571906354515047</v>
      </c>
    </row>
    <row r="160" spans="1:132" s="2" customFormat="1" x14ac:dyDescent="0.25">
      <c r="A160" s="511" t="s">
        <v>389</v>
      </c>
      <c r="B160" s="512" t="s">
        <v>403</v>
      </c>
      <c r="C160" s="513" t="s">
        <v>199</v>
      </c>
      <c r="D160" s="514" t="s">
        <v>21</v>
      </c>
      <c r="E160" s="515" t="s">
        <v>21</v>
      </c>
      <c r="F160" s="515" t="s">
        <v>21</v>
      </c>
      <c r="G160" s="515" t="s">
        <v>21</v>
      </c>
      <c r="H160" s="515" t="s">
        <v>21</v>
      </c>
      <c r="I160" s="516" t="s">
        <v>67</v>
      </c>
      <c r="J160" s="517" t="s">
        <v>67</v>
      </c>
      <c r="K160" s="514" t="s">
        <v>67</v>
      </c>
      <c r="L160" s="515" t="s">
        <v>67</v>
      </c>
      <c r="M160" s="515" t="s">
        <v>67</v>
      </c>
      <c r="N160" s="515" t="s">
        <v>67</v>
      </c>
      <c r="O160" s="515" t="s">
        <v>67</v>
      </c>
      <c r="P160" s="516" t="s">
        <v>67</v>
      </c>
      <c r="Q160" s="517" t="s">
        <v>67</v>
      </c>
      <c r="R160" s="514" t="s">
        <v>67</v>
      </c>
      <c r="S160" s="515" t="s">
        <v>67</v>
      </c>
      <c r="T160" s="515" t="s">
        <v>67</v>
      </c>
      <c r="U160" s="515" t="s">
        <v>67</v>
      </c>
      <c r="V160" s="515" t="s">
        <v>67</v>
      </c>
      <c r="W160" s="516" t="s">
        <v>67</v>
      </c>
      <c r="X160" s="517" t="s">
        <v>67</v>
      </c>
      <c r="Y160" s="514" t="s">
        <v>67</v>
      </c>
      <c r="Z160" s="515" t="s">
        <v>67</v>
      </c>
      <c r="AA160" s="515" t="s">
        <v>67</v>
      </c>
      <c r="AB160" s="515" t="s">
        <v>67</v>
      </c>
      <c r="AC160" s="515" t="s">
        <v>67</v>
      </c>
      <c r="AD160" s="516" t="s">
        <v>67</v>
      </c>
      <c r="AE160" s="517" t="s">
        <v>67</v>
      </c>
      <c r="AF160" s="514" t="s">
        <v>67</v>
      </c>
      <c r="AG160" s="515" t="s">
        <v>67</v>
      </c>
      <c r="AH160" s="515" t="s">
        <v>67</v>
      </c>
      <c r="AI160" s="515" t="s">
        <v>67</v>
      </c>
      <c r="AJ160" s="515" t="s">
        <v>67</v>
      </c>
      <c r="AK160" s="516" t="s">
        <v>67</v>
      </c>
      <c r="AL160" s="517" t="s">
        <v>67</v>
      </c>
      <c r="AM160" s="514" t="s">
        <v>67</v>
      </c>
      <c r="AN160" s="515" t="s">
        <v>67</v>
      </c>
      <c r="AO160" s="515" t="s">
        <v>67</v>
      </c>
      <c r="AP160" s="515" t="s">
        <v>67</v>
      </c>
      <c r="AQ160" s="515" t="s">
        <v>67</v>
      </c>
      <c r="AR160" s="516" t="s">
        <v>67</v>
      </c>
      <c r="AS160" s="517" t="s">
        <v>67</v>
      </c>
      <c r="AT160" s="514" t="s">
        <v>67</v>
      </c>
      <c r="AU160" s="515" t="s">
        <v>67</v>
      </c>
      <c r="AV160" s="515" t="s">
        <v>67</v>
      </c>
      <c r="AW160" s="515" t="s">
        <v>67</v>
      </c>
      <c r="AX160" s="515" t="s">
        <v>67</v>
      </c>
      <c r="AY160" s="516" t="s">
        <v>67</v>
      </c>
      <c r="AZ160" s="517" t="s">
        <v>67</v>
      </c>
      <c r="BA160" s="514" t="s">
        <v>67</v>
      </c>
      <c r="BB160" s="515" t="s">
        <v>67</v>
      </c>
      <c r="BC160" s="515" t="s">
        <v>67</v>
      </c>
      <c r="BD160" s="515" t="s">
        <v>67</v>
      </c>
      <c r="BE160" s="515" t="s">
        <v>67</v>
      </c>
      <c r="BF160" s="516" t="s">
        <v>67</v>
      </c>
      <c r="BG160" s="517" t="s">
        <v>67</v>
      </c>
      <c r="BH160" s="514" t="s">
        <v>67</v>
      </c>
      <c r="BI160" s="515" t="s">
        <v>67</v>
      </c>
      <c r="BJ160" s="515" t="s">
        <v>67</v>
      </c>
      <c r="BK160" s="515" t="s">
        <v>67</v>
      </c>
      <c r="BL160" s="515" t="s">
        <v>67</v>
      </c>
      <c r="BM160" s="516" t="s">
        <v>67</v>
      </c>
      <c r="BN160" s="517" t="s">
        <v>67</v>
      </c>
      <c r="BO160" s="514" t="s">
        <v>67</v>
      </c>
      <c r="BP160" s="515" t="s">
        <v>67</v>
      </c>
      <c r="BQ160" s="515" t="s">
        <v>67</v>
      </c>
      <c r="BR160" s="515" t="s">
        <v>67</v>
      </c>
      <c r="BS160" s="515" t="s">
        <v>67</v>
      </c>
      <c r="BT160" s="516" t="s">
        <v>67</v>
      </c>
      <c r="BU160" s="517" t="s">
        <v>67</v>
      </c>
      <c r="BV160" s="514" t="s">
        <v>67</v>
      </c>
      <c r="BW160" s="515" t="s">
        <v>67</v>
      </c>
      <c r="BX160" s="515" t="s">
        <v>67</v>
      </c>
      <c r="BY160" s="515" t="s">
        <v>67</v>
      </c>
      <c r="BZ160" s="515" t="s">
        <v>67</v>
      </c>
      <c r="CA160" s="516" t="s">
        <v>67</v>
      </c>
      <c r="CB160" s="517" t="s">
        <v>67</v>
      </c>
      <c r="CC160" s="514" t="s">
        <v>67</v>
      </c>
      <c r="CD160" s="515" t="s">
        <v>67</v>
      </c>
      <c r="CE160" s="515" t="s">
        <v>67</v>
      </c>
      <c r="CF160" s="515" t="s">
        <v>67</v>
      </c>
      <c r="CG160" s="515" t="s">
        <v>67</v>
      </c>
      <c r="CH160" s="516" t="s">
        <v>67</v>
      </c>
      <c r="CI160" s="517" t="s">
        <v>67</v>
      </c>
      <c r="CJ160" s="514" t="s">
        <v>67</v>
      </c>
      <c r="CK160" s="515" t="s">
        <v>67</v>
      </c>
      <c r="CL160" s="515" t="s">
        <v>67</v>
      </c>
      <c r="CM160" s="515" t="s">
        <v>67</v>
      </c>
      <c r="CN160" s="515" t="s">
        <v>67</v>
      </c>
      <c r="CO160" s="516" t="s">
        <v>67</v>
      </c>
      <c r="CP160" s="516" t="s">
        <v>67</v>
      </c>
      <c r="CQ160" s="516" t="s">
        <v>67</v>
      </c>
      <c r="CR160" s="517" t="s">
        <v>67</v>
      </c>
      <c r="CS160" s="514" t="s">
        <v>67</v>
      </c>
      <c r="CT160" s="515" t="s">
        <v>67</v>
      </c>
      <c r="CU160" s="515" t="s">
        <v>67</v>
      </c>
      <c r="CV160" s="515" t="s">
        <v>67</v>
      </c>
      <c r="CW160" s="515" t="s">
        <v>67</v>
      </c>
      <c r="CX160" s="516" t="s">
        <v>67</v>
      </c>
      <c r="CY160" s="516" t="s">
        <v>67</v>
      </c>
      <c r="CZ160" s="516" t="s">
        <v>67</v>
      </c>
      <c r="DA160" s="517" t="s">
        <v>67</v>
      </c>
      <c r="DB160" s="514" t="s">
        <v>67</v>
      </c>
      <c r="DC160" s="515" t="s">
        <v>67</v>
      </c>
      <c r="DD160" s="515" t="s">
        <v>67</v>
      </c>
      <c r="DE160" s="515" t="s">
        <v>67</v>
      </c>
      <c r="DF160" s="515" t="s">
        <v>67</v>
      </c>
      <c r="DG160" s="516" t="s">
        <v>67</v>
      </c>
      <c r="DH160" s="516" t="s">
        <v>67</v>
      </c>
      <c r="DI160" s="516" t="s">
        <v>67</v>
      </c>
      <c r="DJ160" s="517" t="s">
        <v>67</v>
      </c>
      <c r="DK160" s="514" t="s">
        <v>67</v>
      </c>
      <c r="DL160" s="515" t="s">
        <v>67</v>
      </c>
      <c r="DM160" s="515" t="s">
        <v>67</v>
      </c>
      <c r="DN160" s="515" t="s">
        <v>67</v>
      </c>
      <c r="DO160" s="515" t="s">
        <v>67</v>
      </c>
      <c r="DP160" s="516" t="s">
        <v>67</v>
      </c>
      <c r="DQ160" s="516" t="s">
        <v>67</v>
      </c>
      <c r="DR160" s="516" t="s">
        <v>67</v>
      </c>
      <c r="DS160" s="517" t="s">
        <v>67</v>
      </c>
      <c r="DT160" s="514" t="s">
        <v>67</v>
      </c>
      <c r="DU160" s="515" t="s">
        <v>67</v>
      </c>
      <c r="DV160" s="515" t="s">
        <v>67</v>
      </c>
      <c r="DW160" s="515" t="s">
        <v>67</v>
      </c>
      <c r="DX160" s="515" t="s">
        <v>67</v>
      </c>
      <c r="DY160" s="516" t="s">
        <v>67</v>
      </c>
      <c r="DZ160" s="516" t="s">
        <v>67</v>
      </c>
      <c r="EA160" s="516" t="s">
        <v>67</v>
      </c>
      <c r="EB160" s="517" t="s">
        <v>67</v>
      </c>
    </row>
    <row r="161" spans="1:132" s="2" customFormat="1" x14ac:dyDescent="0.25">
      <c r="A161" s="551" t="s">
        <v>404</v>
      </c>
      <c r="B161" s="489" t="s">
        <v>405</v>
      </c>
      <c r="C161" s="553"/>
      <c r="D161" s="558">
        <v>13486</v>
      </c>
      <c r="E161" s="559">
        <v>9213</v>
      </c>
      <c r="F161" s="559">
        <v>7956</v>
      </c>
      <c r="G161" s="559">
        <v>3910</v>
      </c>
      <c r="H161" s="560">
        <v>3485</v>
      </c>
      <c r="I161" s="561">
        <f t="shared" si="250"/>
        <v>0.42440030391837619</v>
      </c>
      <c r="J161" s="562">
        <f t="shared" si="251"/>
        <v>0.49145299145299143</v>
      </c>
      <c r="K161" s="558">
        <v>13522</v>
      </c>
      <c r="L161" s="559">
        <v>9173</v>
      </c>
      <c r="M161" s="559">
        <v>8008</v>
      </c>
      <c r="N161" s="559">
        <v>4137</v>
      </c>
      <c r="O161" s="560">
        <v>3782</v>
      </c>
      <c r="P161" s="561">
        <f t="shared" ref="P161:P173" si="294">N161/L161</f>
        <v>0.45099749264144773</v>
      </c>
      <c r="Q161" s="562">
        <f t="shared" ref="Q161:Q173" si="295">N161/M161</f>
        <v>0.51660839160839156</v>
      </c>
      <c r="R161" s="558">
        <v>13334</v>
      </c>
      <c r="S161" s="559">
        <v>9148</v>
      </c>
      <c r="T161" s="559">
        <v>7706</v>
      </c>
      <c r="U161" s="559">
        <v>3855</v>
      </c>
      <c r="V161" s="560">
        <v>3490</v>
      </c>
      <c r="W161" s="561">
        <f t="shared" si="248"/>
        <v>0.4214035854831657</v>
      </c>
      <c r="X161" s="562">
        <f t="shared" si="249"/>
        <v>0.50025953802232026</v>
      </c>
      <c r="Y161" s="558">
        <v>12148</v>
      </c>
      <c r="Z161" s="559">
        <v>8654</v>
      </c>
      <c r="AA161" s="559">
        <v>7447</v>
      </c>
      <c r="AB161" s="559">
        <v>3559</v>
      </c>
      <c r="AC161" s="560">
        <v>3145</v>
      </c>
      <c r="AD161" s="561">
        <f t="shared" ref="AD161:AD173" si="296">AB161/Z161</f>
        <v>0.41125491102380402</v>
      </c>
      <c r="AE161" s="562">
        <f t="shared" ref="AE161:AE173" si="297">AB161/AA161</f>
        <v>0.47791056801396536</v>
      </c>
      <c r="AF161" s="558">
        <v>10486</v>
      </c>
      <c r="AG161" s="559">
        <v>7573</v>
      </c>
      <c r="AH161" s="559">
        <v>6248</v>
      </c>
      <c r="AI161" s="559">
        <v>3275</v>
      </c>
      <c r="AJ161" s="560">
        <v>2930</v>
      </c>
      <c r="AK161" s="561">
        <f t="shared" ref="AK161:AK173" si="298">AI161/AG161</f>
        <v>0.43245741449887759</v>
      </c>
      <c r="AL161" s="562">
        <f t="shared" ref="AL161:AL173" si="299">AI161/AH161</f>
        <v>0.52416773367477598</v>
      </c>
      <c r="AM161" s="558">
        <v>8518</v>
      </c>
      <c r="AN161" s="559">
        <v>6232</v>
      </c>
      <c r="AO161" s="559">
        <v>5149</v>
      </c>
      <c r="AP161" s="559">
        <v>2881</v>
      </c>
      <c r="AQ161" s="560">
        <v>2584</v>
      </c>
      <c r="AR161" s="561">
        <f t="shared" ref="AR161:AR173" si="300">AP161/AN161</f>
        <v>0.4622913992297818</v>
      </c>
      <c r="AS161" s="562">
        <f t="shared" ref="AS161:AS173" si="301">AP161/AO161</f>
        <v>0.55952612157700521</v>
      </c>
      <c r="AT161" s="558">
        <v>7874</v>
      </c>
      <c r="AU161" s="559">
        <v>5713</v>
      </c>
      <c r="AV161" s="559">
        <v>4874</v>
      </c>
      <c r="AW161" s="559">
        <v>2682</v>
      </c>
      <c r="AX161" s="560">
        <v>2415</v>
      </c>
      <c r="AY161" s="561">
        <f t="shared" ref="AY161:AY173" si="302">AW161/AU161</f>
        <v>0.46945562751619113</v>
      </c>
      <c r="AZ161" s="562">
        <f t="shared" ref="AZ161:AZ173" si="303">AW161/AV161</f>
        <v>0.55026672137874433</v>
      </c>
      <c r="BA161" s="558">
        <v>6891</v>
      </c>
      <c r="BB161" s="559">
        <v>5056</v>
      </c>
      <c r="BC161" s="559">
        <v>4314</v>
      </c>
      <c r="BD161" s="559">
        <v>2517</v>
      </c>
      <c r="BE161" s="560">
        <v>2314</v>
      </c>
      <c r="BF161" s="561">
        <f t="shared" ref="BF161:BF173" si="304">BD161/BB161</f>
        <v>0.49782436708860761</v>
      </c>
      <c r="BG161" s="562">
        <f t="shared" ref="BG161:BG173" si="305">BD161/BC161</f>
        <v>0.58344923504867874</v>
      </c>
      <c r="BH161" s="558">
        <v>6334</v>
      </c>
      <c r="BI161" s="559">
        <v>4738</v>
      </c>
      <c r="BJ161" s="559">
        <v>4107</v>
      </c>
      <c r="BK161" s="559">
        <v>2538</v>
      </c>
      <c r="BL161" s="560">
        <v>2328</v>
      </c>
      <c r="BM161" s="561">
        <f t="shared" ref="BM161:BM174" si="306">BK161/BI161</f>
        <v>0.53566905867454617</v>
      </c>
      <c r="BN161" s="562">
        <f t="shared" ref="BN161:BN174" si="307">BK161/BJ161</f>
        <v>0.61796932067202337</v>
      </c>
      <c r="BO161" s="558">
        <v>5892</v>
      </c>
      <c r="BP161" s="559">
        <v>4508</v>
      </c>
      <c r="BQ161" s="559">
        <v>3786</v>
      </c>
      <c r="BR161" s="559">
        <v>2480</v>
      </c>
      <c r="BS161" s="560">
        <v>2310</v>
      </c>
      <c r="BT161" s="561">
        <f t="shared" ref="BT161:BT174" si="308">BR161/BP161</f>
        <v>0.55013309671694766</v>
      </c>
      <c r="BU161" s="562">
        <f t="shared" ref="BU161:BU174" si="309">BR161/BQ161</f>
        <v>0.65504490227152667</v>
      </c>
      <c r="BV161" s="558">
        <v>6397</v>
      </c>
      <c r="BW161" s="559">
        <v>4887</v>
      </c>
      <c r="BX161" s="559">
        <v>4183</v>
      </c>
      <c r="BY161" s="559">
        <v>2720</v>
      </c>
      <c r="BZ161" s="560">
        <v>2545</v>
      </c>
      <c r="CA161" s="561">
        <f t="shared" ref="CA161:CA174" si="310">BY161/BW161</f>
        <v>0.55657867812563944</v>
      </c>
      <c r="CB161" s="562">
        <f t="shared" ref="CB161:CB174" si="311">BY161/BX161</f>
        <v>0.65025101601721258</v>
      </c>
      <c r="CC161" s="558">
        <v>5962</v>
      </c>
      <c r="CD161" s="559">
        <v>4688</v>
      </c>
      <c r="CE161" s="559">
        <v>4030</v>
      </c>
      <c r="CF161" s="559">
        <v>2584</v>
      </c>
      <c r="CG161" s="560">
        <v>2298</v>
      </c>
      <c r="CH161" s="561">
        <f t="shared" ref="CH161:CH174" si="312">CF161/CD161</f>
        <v>0.55119453924914674</v>
      </c>
      <c r="CI161" s="562">
        <f t="shared" ref="CI161:CI174" si="313">CF161/CE161</f>
        <v>0.6411910669975186</v>
      </c>
      <c r="CJ161" s="558">
        <v>6859</v>
      </c>
      <c r="CK161" s="559">
        <v>5337</v>
      </c>
      <c r="CL161" s="559">
        <v>4681</v>
      </c>
      <c r="CM161" s="559">
        <v>2878</v>
      </c>
      <c r="CN161" s="560">
        <v>2461</v>
      </c>
      <c r="CO161" s="561">
        <f t="shared" ref="CO161:CO174" si="314">CM161/CK161</f>
        <v>0.53925426269439758</v>
      </c>
      <c r="CP161" s="664">
        <f t="shared" ref="CP161:CP174" si="315">CM161/CL161</f>
        <v>0.61482589190343939</v>
      </c>
      <c r="CQ161" s="561">
        <v>0.5902192242833052</v>
      </c>
      <c r="CR161" s="562">
        <v>0.67293313394573806</v>
      </c>
      <c r="CS161" s="558">
        <v>7123</v>
      </c>
      <c r="CT161" s="559">
        <v>5532</v>
      </c>
      <c r="CU161" s="559">
        <v>4862</v>
      </c>
      <c r="CV161" s="559">
        <v>3044</v>
      </c>
      <c r="CW161" s="560">
        <v>2546</v>
      </c>
      <c r="CX161" s="561">
        <f t="shared" ref="CX161:CX174" si="316">CV161/CT161</f>
        <v>0.55025307302964566</v>
      </c>
      <c r="CY161" s="664">
        <f t="shared" ref="CY161:CY174" si="317">CV161/CU161</f>
        <v>0.62607980255039075</v>
      </c>
      <c r="CZ161" s="561">
        <v>0.60032537960954446</v>
      </c>
      <c r="DA161" s="562">
        <v>0.68305224187577129</v>
      </c>
      <c r="DB161" s="558">
        <v>7688</v>
      </c>
      <c r="DC161" s="559">
        <v>5914</v>
      </c>
      <c r="DD161" s="559">
        <v>5523</v>
      </c>
      <c r="DE161" s="559">
        <v>3180</v>
      </c>
      <c r="DF161" s="560">
        <v>2640</v>
      </c>
      <c r="DG161" s="561">
        <f t="shared" ref="DG161:DG174" si="318">DE161/DC161</f>
        <v>0.53770713561041594</v>
      </c>
      <c r="DH161" s="664">
        <f t="shared" ref="DH161:DH174" si="319">DE161/DD161</f>
        <v>0.57577403585008147</v>
      </c>
      <c r="DI161" s="561">
        <v>0.60585052417991203</v>
      </c>
      <c r="DJ161" s="562">
        <v>0.64874162592793772</v>
      </c>
      <c r="DK161" s="558">
        <v>7634</v>
      </c>
      <c r="DL161" s="559">
        <v>5906</v>
      </c>
      <c r="DM161" s="559">
        <v>5292</v>
      </c>
      <c r="DN161" s="559">
        <v>3562</v>
      </c>
      <c r="DO161" s="560">
        <v>2800</v>
      </c>
      <c r="DP161" s="561">
        <f t="shared" ref="DP161:DP174" si="320">DN161/DL161</f>
        <v>0.60311547578733493</v>
      </c>
      <c r="DQ161" s="664">
        <f t="shared" ref="DQ161:DQ174" si="321">DN161/DM161</f>
        <v>0.6730914588057445</v>
      </c>
      <c r="DR161" s="561">
        <v>0.65120216728750424</v>
      </c>
      <c r="DS161" s="562">
        <v>0.72675736961451243</v>
      </c>
      <c r="DT161" s="558">
        <v>8274</v>
      </c>
      <c r="DU161" s="559">
        <v>6307</v>
      </c>
      <c r="DV161" s="559">
        <v>5645</v>
      </c>
      <c r="DW161" s="559">
        <v>3745</v>
      </c>
      <c r="DX161" s="560">
        <v>2929</v>
      </c>
      <c r="DY161" s="561">
        <f t="shared" ref="DY161:DY174" si="322">DW161/DU161</f>
        <v>0.59378468368479465</v>
      </c>
      <c r="DZ161" s="664">
        <f t="shared" ref="DZ161:DZ174" si="323">DW161/DV161</f>
        <v>0.66341895482728075</v>
      </c>
      <c r="EA161" s="561">
        <v>0.63167908672903128</v>
      </c>
      <c r="EB161" s="562">
        <v>0.70575730735163866</v>
      </c>
    </row>
    <row r="162" spans="1:132" s="2" customFormat="1" x14ac:dyDescent="0.25">
      <c r="A162" s="554" t="s">
        <v>404</v>
      </c>
      <c r="B162" s="497" t="s">
        <v>406</v>
      </c>
      <c r="C162" s="556" t="s">
        <v>407</v>
      </c>
      <c r="D162" s="499">
        <v>2043</v>
      </c>
      <c r="E162" s="500">
        <v>2042</v>
      </c>
      <c r="F162" s="500">
        <v>1746</v>
      </c>
      <c r="G162" s="500">
        <v>860</v>
      </c>
      <c r="H162" s="500">
        <v>551</v>
      </c>
      <c r="I162" s="501">
        <f t="shared" si="250"/>
        <v>0.42115572967678744</v>
      </c>
      <c r="J162" s="502">
        <f t="shared" si="251"/>
        <v>0.4925544100801833</v>
      </c>
      <c r="K162" s="499">
        <v>2049</v>
      </c>
      <c r="L162" s="500">
        <v>2049</v>
      </c>
      <c r="M162" s="500">
        <v>1721</v>
      </c>
      <c r="N162" s="500">
        <v>834</v>
      </c>
      <c r="O162" s="500">
        <v>834</v>
      </c>
      <c r="P162" s="501">
        <f t="shared" si="294"/>
        <v>0.40702781844802344</v>
      </c>
      <c r="Q162" s="502">
        <f t="shared" si="295"/>
        <v>0.48460197559558399</v>
      </c>
      <c r="R162" s="499">
        <v>2094</v>
      </c>
      <c r="S162" s="500">
        <v>2094</v>
      </c>
      <c r="T162" s="500">
        <v>1774</v>
      </c>
      <c r="U162" s="500">
        <v>529</v>
      </c>
      <c r="V162" s="500">
        <v>520</v>
      </c>
      <c r="W162" s="501">
        <f t="shared" si="248"/>
        <v>0.25262655205348616</v>
      </c>
      <c r="X162" s="502">
        <f t="shared" si="249"/>
        <v>0.29819616685456596</v>
      </c>
      <c r="Y162" s="499">
        <v>1961</v>
      </c>
      <c r="Z162" s="500">
        <v>1961</v>
      </c>
      <c r="AA162" s="500">
        <v>1715</v>
      </c>
      <c r="AB162" s="500">
        <v>386</v>
      </c>
      <c r="AC162" s="500">
        <v>366</v>
      </c>
      <c r="AD162" s="501">
        <f t="shared" si="296"/>
        <v>0.196838347781744</v>
      </c>
      <c r="AE162" s="502">
        <f t="shared" si="297"/>
        <v>0.2250728862973761</v>
      </c>
      <c r="AF162" s="499">
        <v>1736</v>
      </c>
      <c r="AG162" s="500">
        <v>1736</v>
      </c>
      <c r="AH162" s="500">
        <v>1487</v>
      </c>
      <c r="AI162" s="500">
        <v>423</v>
      </c>
      <c r="AJ162" s="500">
        <v>412</v>
      </c>
      <c r="AK162" s="501">
        <f t="shared" si="298"/>
        <v>0.2436635944700461</v>
      </c>
      <c r="AL162" s="502">
        <f t="shared" si="299"/>
        <v>0.28446536650975118</v>
      </c>
      <c r="AM162" s="499">
        <v>1365</v>
      </c>
      <c r="AN162" s="500">
        <v>1364</v>
      </c>
      <c r="AO162" s="500">
        <v>1099</v>
      </c>
      <c r="AP162" s="500">
        <v>339</v>
      </c>
      <c r="AQ162" s="500">
        <v>334</v>
      </c>
      <c r="AR162" s="501">
        <f t="shared" si="300"/>
        <v>0.24853372434017595</v>
      </c>
      <c r="AS162" s="502">
        <f t="shared" si="301"/>
        <v>0.30846223839854414</v>
      </c>
      <c r="AT162" s="499">
        <v>1140</v>
      </c>
      <c r="AU162" s="500">
        <v>1138</v>
      </c>
      <c r="AV162" s="500">
        <v>978</v>
      </c>
      <c r="AW162" s="500">
        <v>363</v>
      </c>
      <c r="AX162" s="500">
        <v>360</v>
      </c>
      <c r="AY162" s="501">
        <f t="shared" si="302"/>
        <v>0.3189806678383128</v>
      </c>
      <c r="AZ162" s="502">
        <f t="shared" si="303"/>
        <v>0.37116564417177916</v>
      </c>
      <c r="BA162" s="499">
        <v>1083</v>
      </c>
      <c r="BB162" s="500">
        <v>1081</v>
      </c>
      <c r="BC162" s="500">
        <v>862</v>
      </c>
      <c r="BD162" s="500">
        <v>374</v>
      </c>
      <c r="BE162" s="500">
        <v>370</v>
      </c>
      <c r="BF162" s="501">
        <f t="shared" si="304"/>
        <v>0.34597594819611471</v>
      </c>
      <c r="BG162" s="502">
        <f t="shared" si="305"/>
        <v>0.43387470997679817</v>
      </c>
      <c r="BH162" s="499">
        <v>984</v>
      </c>
      <c r="BI162" s="500">
        <v>983</v>
      </c>
      <c r="BJ162" s="500">
        <v>834</v>
      </c>
      <c r="BK162" s="500">
        <v>414</v>
      </c>
      <c r="BL162" s="500">
        <v>406</v>
      </c>
      <c r="BM162" s="501">
        <f t="shared" si="306"/>
        <v>0.42115971515768058</v>
      </c>
      <c r="BN162" s="502">
        <f t="shared" si="307"/>
        <v>0.49640287769784175</v>
      </c>
      <c r="BO162" s="499">
        <v>914</v>
      </c>
      <c r="BP162" s="500">
        <v>914</v>
      </c>
      <c r="BQ162" s="500">
        <v>736</v>
      </c>
      <c r="BR162" s="500">
        <v>403</v>
      </c>
      <c r="BS162" s="500">
        <v>392</v>
      </c>
      <c r="BT162" s="501">
        <f t="shared" si="308"/>
        <v>0.44091903719912473</v>
      </c>
      <c r="BU162" s="502">
        <f t="shared" si="309"/>
        <v>0.54755434782608692</v>
      </c>
      <c r="BV162" s="499">
        <v>877</v>
      </c>
      <c r="BW162" s="500">
        <v>868</v>
      </c>
      <c r="BX162" s="500">
        <v>672</v>
      </c>
      <c r="BY162" s="500">
        <v>458</v>
      </c>
      <c r="BZ162" s="500">
        <v>434</v>
      </c>
      <c r="CA162" s="501">
        <f t="shared" si="310"/>
        <v>0.52764976958525345</v>
      </c>
      <c r="CB162" s="502">
        <f t="shared" si="311"/>
        <v>0.68154761904761907</v>
      </c>
      <c r="CC162" s="499">
        <v>956</v>
      </c>
      <c r="CD162" s="500">
        <v>954</v>
      </c>
      <c r="CE162" s="500">
        <v>802</v>
      </c>
      <c r="CF162" s="500">
        <v>478</v>
      </c>
      <c r="CG162" s="500">
        <v>433</v>
      </c>
      <c r="CH162" s="501">
        <f t="shared" si="312"/>
        <v>0.50104821802935007</v>
      </c>
      <c r="CI162" s="502">
        <f t="shared" si="313"/>
        <v>0.5960099750623441</v>
      </c>
      <c r="CJ162" s="499">
        <v>1199</v>
      </c>
      <c r="CK162" s="500">
        <v>1192</v>
      </c>
      <c r="CL162" s="500">
        <v>1032</v>
      </c>
      <c r="CM162" s="500">
        <v>514</v>
      </c>
      <c r="CN162" s="500">
        <v>470</v>
      </c>
      <c r="CO162" s="501">
        <f t="shared" si="314"/>
        <v>0.43120805369127518</v>
      </c>
      <c r="CP162" s="501">
        <f t="shared" si="315"/>
        <v>0.49806201550387597</v>
      </c>
      <c r="CQ162" s="501">
        <v>0.46392617449664431</v>
      </c>
      <c r="CR162" s="502">
        <v>0.53585271317829453</v>
      </c>
      <c r="CS162" s="499">
        <v>1175</v>
      </c>
      <c r="CT162" s="500">
        <v>1175</v>
      </c>
      <c r="CU162" s="500">
        <v>1032</v>
      </c>
      <c r="CV162" s="500">
        <v>580</v>
      </c>
      <c r="CW162" s="500">
        <v>551</v>
      </c>
      <c r="CX162" s="501">
        <f t="shared" si="316"/>
        <v>0.49361702127659574</v>
      </c>
      <c r="CY162" s="501">
        <f t="shared" si="317"/>
        <v>0.56201550387596899</v>
      </c>
      <c r="CZ162" s="501">
        <v>0.5787234042553191</v>
      </c>
      <c r="DA162" s="502">
        <v>0.65891472868217049</v>
      </c>
      <c r="DB162" s="499">
        <v>1300</v>
      </c>
      <c r="DC162" s="500">
        <v>1298</v>
      </c>
      <c r="DD162" s="500">
        <v>1102</v>
      </c>
      <c r="DE162" s="500">
        <v>531</v>
      </c>
      <c r="DF162" s="500">
        <v>494</v>
      </c>
      <c r="DG162" s="501">
        <f t="shared" si="318"/>
        <v>0.40909090909090912</v>
      </c>
      <c r="DH162" s="501">
        <f t="shared" si="319"/>
        <v>0.48185117967332125</v>
      </c>
      <c r="DI162" s="501">
        <v>0.48073959938366717</v>
      </c>
      <c r="DJ162" s="502">
        <v>0.56624319419237745</v>
      </c>
      <c r="DK162" s="499">
        <v>1239</v>
      </c>
      <c r="DL162" s="500">
        <v>1238</v>
      </c>
      <c r="DM162" s="500">
        <v>1109</v>
      </c>
      <c r="DN162" s="500">
        <v>718</v>
      </c>
      <c r="DO162" s="500">
        <v>583</v>
      </c>
      <c r="DP162" s="501">
        <f t="shared" si="320"/>
        <v>0.57996768982229407</v>
      </c>
      <c r="DQ162" s="501">
        <f t="shared" si="321"/>
        <v>0.64743011722272314</v>
      </c>
      <c r="DR162" s="501">
        <v>0.66801292407108237</v>
      </c>
      <c r="DS162" s="502">
        <v>0.74571686203787191</v>
      </c>
      <c r="DT162" s="499">
        <v>1459</v>
      </c>
      <c r="DU162" s="500">
        <v>1459</v>
      </c>
      <c r="DV162" s="500">
        <v>1211</v>
      </c>
      <c r="DW162" s="500">
        <v>633</v>
      </c>
      <c r="DX162" s="500">
        <v>525</v>
      </c>
      <c r="DY162" s="501">
        <f t="shared" si="322"/>
        <v>0.43385880740233035</v>
      </c>
      <c r="DZ162" s="501">
        <f t="shared" si="323"/>
        <v>0.52270850536746494</v>
      </c>
      <c r="EA162" s="501">
        <v>0.4880054832076765</v>
      </c>
      <c r="EB162" s="502">
        <v>0.58794384805945499</v>
      </c>
    </row>
    <row r="163" spans="1:132" s="2" customFormat="1" x14ac:dyDescent="0.25">
      <c r="A163" s="503" t="s">
        <v>404</v>
      </c>
      <c r="B163" s="504" t="s">
        <v>408</v>
      </c>
      <c r="C163" s="505" t="s">
        <v>409</v>
      </c>
      <c r="D163" s="506">
        <v>2420</v>
      </c>
      <c r="E163" s="507">
        <v>2420</v>
      </c>
      <c r="F163" s="507">
        <v>1982</v>
      </c>
      <c r="G163" s="507">
        <v>919</v>
      </c>
      <c r="H163" s="507">
        <v>730</v>
      </c>
      <c r="I163" s="508">
        <f t="shared" si="250"/>
        <v>0.3797520661157025</v>
      </c>
      <c r="J163" s="509">
        <f t="shared" si="251"/>
        <v>0.46367305751765892</v>
      </c>
      <c r="K163" s="506">
        <v>2329</v>
      </c>
      <c r="L163" s="507">
        <v>2328</v>
      </c>
      <c r="M163" s="507">
        <v>1776</v>
      </c>
      <c r="N163" s="507">
        <v>1011</v>
      </c>
      <c r="O163" s="507">
        <v>801</v>
      </c>
      <c r="P163" s="508">
        <f t="shared" si="294"/>
        <v>0.43427835051546393</v>
      </c>
      <c r="Q163" s="509">
        <f t="shared" si="295"/>
        <v>0.5692567567567568</v>
      </c>
      <c r="R163" s="506">
        <v>2468</v>
      </c>
      <c r="S163" s="507">
        <v>2467</v>
      </c>
      <c r="T163" s="507">
        <v>1850</v>
      </c>
      <c r="U163" s="507">
        <v>977</v>
      </c>
      <c r="V163" s="507">
        <v>795</v>
      </c>
      <c r="W163" s="508">
        <f t="shared" si="248"/>
        <v>0.39602756384272397</v>
      </c>
      <c r="X163" s="509">
        <f t="shared" si="249"/>
        <v>0.52810810810810815</v>
      </c>
      <c r="Y163" s="506">
        <v>2296</v>
      </c>
      <c r="Z163" s="507">
        <v>2296</v>
      </c>
      <c r="AA163" s="507">
        <v>1864</v>
      </c>
      <c r="AB163" s="507">
        <v>880</v>
      </c>
      <c r="AC163" s="507">
        <v>737</v>
      </c>
      <c r="AD163" s="508">
        <f t="shared" si="296"/>
        <v>0.38327526132404183</v>
      </c>
      <c r="AE163" s="509">
        <f t="shared" si="297"/>
        <v>0.47210300429184548</v>
      </c>
      <c r="AF163" s="506">
        <v>2084</v>
      </c>
      <c r="AG163" s="507">
        <v>2077</v>
      </c>
      <c r="AH163" s="507">
        <v>1641</v>
      </c>
      <c r="AI163" s="507">
        <v>739</v>
      </c>
      <c r="AJ163" s="507">
        <v>620</v>
      </c>
      <c r="AK163" s="508">
        <f t="shared" si="298"/>
        <v>0.35580163697640826</v>
      </c>
      <c r="AL163" s="509">
        <f t="shared" si="299"/>
        <v>0.45033516148689823</v>
      </c>
      <c r="AM163" s="506">
        <v>1896</v>
      </c>
      <c r="AN163" s="507">
        <v>1889</v>
      </c>
      <c r="AO163" s="507">
        <v>1460</v>
      </c>
      <c r="AP163" s="507">
        <v>674</v>
      </c>
      <c r="AQ163" s="507">
        <v>533</v>
      </c>
      <c r="AR163" s="508">
        <f t="shared" si="300"/>
        <v>0.35680254102699843</v>
      </c>
      <c r="AS163" s="509">
        <f t="shared" si="301"/>
        <v>0.46164383561643835</v>
      </c>
      <c r="AT163" s="506">
        <v>1662</v>
      </c>
      <c r="AU163" s="507">
        <v>1653</v>
      </c>
      <c r="AV163" s="507">
        <v>1250</v>
      </c>
      <c r="AW163" s="507">
        <v>602</v>
      </c>
      <c r="AX163" s="507">
        <v>499</v>
      </c>
      <c r="AY163" s="508">
        <f t="shared" si="302"/>
        <v>0.36418632788868721</v>
      </c>
      <c r="AZ163" s="509">
        <f t="shared" si="303"/>
        <v>0.48159999999999997</v>
      </c>
      <c r="BA163" s="506">
        <v>1428</v>
      </c>
      <c r="BB163" s="507">
        <v>1414</v>
      </c>
      <c r="BC163" s="507">
        <v>1049</v>
      </c>
      <c r="BD163" s="507">
        <v>608</v>
      </c>
      <c r="BE163" s="507">
        <v>503</v>
      </c>
      <c r="BF163" s="508">
        <f t="shared" si="304"/>
        <v>0.42998585572843001</v>
      </c>
      <c r="BG163" s="509">
        <f t="shared" si="305"/>
        <v>0.57959961868446142</v>
      </c>
      <c r="BH163" s="506">
        <v>1249</v>
      </c>
      <c r="BI163" s="507">
        <v>1244</v>
      </c>
      <c r="BJ163" s="507">
        <v>976</v>
      </c>
      <c r="BK163" s="507">
        <v>596</v>
      </c>
      <c r="BL163" s="507">
        <v>485</v>
      </c>
      <c r="BM163" s="508">
        <f t="shared" si="306"/>
        <v>0.47909967845659163</v>
      </c>
      <c r="BN163" s="509">
        <f t="shared" si="307"/>
        <v>0.61065573770491799</v>
      </c>
      <c r="BO163" s="506">
        <v>1160</v>
      </c>
      <c r="BP163" s="507">
        <v>1148</v>
      </c>
      <c r="BQ163" s="507">
        <v>889</v>
      </c>
      <c r="BR163" s="507">
        <v>571</v>
      </c>
      <c r="BS163" s="507">
        <v>464</v>
      </c>
      <c r="BT163" s="508">
        <f t="shared" si="308"/>
        <v>0.49738675958188155</v>
      </c>
      <c r="BU163" s="509">
        <f t="shared" si="309"/>
        <v>0.64229471316085485</v>
      </c>
      <c r="BV163" s="506">
        <v>1207</v>
      </c>
      <c r="BW163" s="507">
        <v>1194</v>
      </c>
      <c r="BX163" s="507">
        <v>925</v>
      </c>
      <c r="BY163" s="507">
        <v>640</v>
      </c>
      <c r="BZ163" s="507">
        <v>542</v>
      </c>
      <c r="CA163" s="508">
        <f t="shared" si="310"/>
        <v>0.53601340033500833</v>
      </c>
      <c r="CB163" s="509">
        <f t="shared" si="311"/>
        <v>0.69189189189189193</v>
      </c>
      <c r="CC163" s="506">
        <v>1156</v>
      </c>
      <c r="CD163" s="507">
        <v>1145</v>
      </c>
      <c r="CE163" s="507">
        <v>922</v>
      </c>
      <c r="CF163" s="507">
        <v>641</v>
      </c>
      <c r="CG163" s="507">
        <v>536</v>
      </c>
      <c r="CH163" s="508">
        <f t="shared" si="312"/>
        <v>0.55982532751091707</v>
      </c>
      <c r="CI163" s="509">
        <f t="shared" si="313"/>
        <v>0.6952277657266811</v>
      </c>
      <c r="CJ163" s="506">
        <v>1383</v>
      </c>
      <c r="CK163" s="507">
        <v>1364</v>
      </c>
      <c r="CL163" s="507">
        <v>1194</v>
      </c>
      <c r="CM163" s="507">
        <v>884</v>
      </c>
      <c r="CN163" s="507">
        <v>586</v>
      </c>
      <c r="CO163" s="508">
        <f t="shared" si="314"/>
        <v>0.64809384164222872</v>
      </c>
      <c r="CP163" s="508">
        <f t="shared" si="315"/>
        <v>0.74036850921273034</v>
      </c>
      <c r="CQ163" s="508">
        <v>0.65175953079178883</v>
      </c>
      <c r="CR163" s="509">
        <v>0.74455611390284759</v>
      </c>
      <c r="CS163" s="506">
        <v>1390</v>
      </c>
      <c r="CT163" s="507">
        <v>1380</v>
      </c>
      <c r="CU163" s="507">
        <v>1205</v>
      </c>
      <c r="CV163" s="507">
        <v>837</v>
      </c>
      <c r="CW163" s="507">
        <v>527</v>
      </c>
      <c r="CX163" s="508">
        <f t="shared" si="316"/>
        <v>0.60652173913043483</v>
      </c>
      <c r="CY163" s="508">
        <f t="shared" si="317"/>
        <v>0.69460580912863068</v>
      </c>
      <c r="CZ163" s="508">
        <v>0.61086956521739133</v>
      </c>
      <c r="DA163" s="509">
        <v>0.69958506224066386</v>
      </c>
      <c r="DB163" s="506">
        <v>1499</v>
      </c>
      <c r="DC163" s="507">
        <v>1480</v>
      </c>
      <c r="DD163" s="507">
        <v>1298</v>
      </c>
      <c r="DE163" s="507">
        <v>925</v>
      </c>
      <c r="DF163" s="507">
        <v>569</v>
      </c>
      <c r="DG163" s="508">
        <f t="shared" si="318"/>
        <v>0.625</v>
      </c>
      <c r="DH163" s="508">
        <f t="shared" si="319"/>
        <v>0.71263482280431434</v>
      </c>
      <c r="DI163" s="508">
        <v>0.63378378378378375</v>
      </c>
      <c r="DJ163" s="509">
        <v>0.72265023112480742</v>
      </c>
      <c r="DK163" s="506">
        <v>1251</v>
      </c>
      <c r="DL163" s="507">
        <v>1230</v>
      </c>
      <c r="DM163" s="507">
        <v>1010</v>
      </c>
      <c r="DN163" s="507">
        <v>787</v>
      </c>
      <c r="DO163" s="507">
        <v>552</v>
      </c>
      <c r="DP163" s="508">
        <f t="shared" si="320"/>
        <v>0.63983739837398379</v>
      </c>
      <c r="DQ163" s="508">
        <f t="shared" si="321"/>
        <v>0.77920792079207923</v>
      </c>
      <c r="DR163" s="508">
        <v>0.65365853658536588</v>
      </c>
      <c r="DS163" s="509">
        <v>0.79603960396039608</v>
      </c>
      <c r="DT163" s="506">
        <v>1369</v>
      </c>
      <c r="DU163" s="507">
        <v>1344</v>
      </c>
      <c r="DV163" s="507">
        <v>1200</v>
      </c>
      <c r="DW163" s="507">
        <v>849</v>
      </c>
      <c r="DX163" s="507">
        <v>570</v>
      </c>
      <c r="DY163" s="508">
        <f t="shared" si="322"/>
        <v>0.6316964285714286</v>
      </c>
      <c r="DZ163" s="508">
        <f t="shared" si="323"/>
        <v>0.70750000000000002</v>
      </c>
      <c r="EA163" s="508">
        <v>0.640625</v>
      </c>
      <c r="EB163" s="509">
        <v>0.71750000000000003</v>
      </c>
    </row>
    <row r="164" spans="1:132" s="2" customFormat="1" x14ac:dyDescent="0.25">
      <c r="A164" s="503" t="s">
        <v>404</v>
      </c>
      <c r="B164" s="504" t="s">
        <v>410</v>
      </c>
      <c r="C164" s="505" t="s">
        <v>411</v>
      </c>
      <c r="D164" s="506">
        <v>3346</v>
      </c>
      <c r="E164" s="507">
        <v>3257</v>
      </c>
      <c r="F164" s="507">
        <v>2357</v>
      </c>
      <c r="G164" s="507">
        <v>788</v>
      </c>
      <c r="H164" s="507">
        <v>493</v>
      </c>
      <c r="I164" s="508">
        <f t="shared" si="250"/>
        <v>0.24194043598403439</v>
      </c>
      <c r="J164" s="509">
        <f t="shared" si="251"/>
        <v>0.3343232923207467</v>
      </c>
      <c r="K164" s="506">
        <v>3205</v>
      </c>
      <c r="L164" s="507">
        <v>3117</v>
      </c>
      <c r="M164" s="507">
        <v>2522</v>
      </c>
      <c r="N164" s="507">
        <v>810</v>
      </c>
      <c r="O164" s="507">
        <v>492</v>
      </c>
      <c r="P164" s="508">
        <f t="shared" si="294"/>
        <v>0.25986525505293551</v>
      </c>
      <c r="Q164" s="509">
        <f t="shared" si="295"/>
        <v>0.32117367168913563</v>
      </c>
      <c r="R164" s="506">
        <v>3314</v>
      </c>
      <c r="S164" s="507">
        <v>3223</v>
      </c>
      <c r="T164" s="507">
        <v>2412</v>
      </c>
      <c r="U164" s="507">
        <v>732</v>
      </c>
      <c r="V164" s="507">
        <v>483</v>
      </c>
      <c r="W164" s="508">
        <f t="shared" si="248"/>
        <v>0.22711759230530562</v>
      </c>
      <c r="X164" s="509">
        <f t="shared" si="249"/>
        <v>0.30348258706467662</v>
      </c>
      <c r="Y164" s="506">
        <v>3049</v>
      </c>
      <c r="Z164" s="507">
        <v>2973</v>
      </c>
      <c r="AA164" s="507">
        <v>2284</v>
      </c>
      <c r="AB164" s="507">
        <v>663</v>
      </c>
      <c r="AC164" s="507">
        <v>415</v>
      </c>
      <c r="AD164" s="508">
        <f t="shared" si="296"/>
        <v>0.22300706357214933</v>
      </c>
      <c r="AE164" s="509">
        <f t="shared" si="297"/>
        <v>0.29028021015761823</v>
      </c>
      <c r="AF164" s="506">
        <v>2440</v>
      </c>
      <c r="AG164" s="507">
        <v>2394</v>
      </c>
      <c r="AH164" s="507">
        <v>1890</v>
      </c>
      <c r="AI164" s="507">
        <v>614</v>
      </c>
      <c r="AJ164" s="507">
        <v>449</v>
      </c>
      <c r="AK164" s="508">
        <f t="shared" si="298"/>
        <v>0.25647451963241436</v>
      </c>
      <c r="AL164" s="509">
        <f t="shared" si="299"/>
        <v>0.32486772486772486</v>
      </c>
      <c r="AM164" s="506">
        <v>1800</v>
      </c>
      <c r="AN164" s="507">
        <v>1771</v>
      </c>
      <c r="AO164" s="507">
        <v>1257</v>
      </c>
      <c r="AP164" s="507">
        <v>630</v>
      </c>
      <c r="AQ164" s="507">
        <v>451</v>
      </c>
      <c r="AR164" s="508">
        <f t="shared" si="300"/>
        <v>0.35573122529644269</v>
      </c>
      <c r="AS164" s="509">
        <f t="shared" si="301"/>
        <v>0.50119331742243434</v>
      </c>
      <c r="AT164" s="506">
        <v>1842</v>
      </c>
      <c r="AU164" s="507">
        <v>1794</v>
      </c>
      <c r="AV164" s="507">
        <v>1436</v>
      </c>
      <c r="AW164" s="507">
        <v>470</v>
      </c>
      <c r="AX164" s="507">
        <v>310</v>
      </c>
      <c r="AY164" s="508">
        <f t="shared" si="302"/>
        <v>0.26198439241917504</v>
      </c>
      <c r="AZ164" s="509">
        <f t="shared" si="303"/>
        <v>0.32729805013927576</v>
      </c>
      <c r="BA164" s="506">
        <v>1689</v>
      </c>
      <c r="BB164" s="507">
        <v>1637</v>
      </c>
      <c r="BC164" s="507">
        <v>1358</v>
      </c>
      <c r="BD164" s="507">
        <v>566</v>
      </c>
      <c r="BE164" s="507">
        <v>380</v>
      </c>
      <c r="BF164" s="508">
        <f t="shared" si="304"/>
        <v>0.34575442883323154</v>
      </c>
      <c r="BG164" s="509">
        <f t="shared" si="305"/>
        <v>0.41678939617083949</v>
      </c>
      <c r="BH164" s="506">
        <v>1552</v>
      </c>
      <c r="BI164" s="507">
        <v>1511</v>
      </c>
      <c r="BJ164" s="507">
        <v>1243</v>
      </c>
      <c r="BK164" s="507">
        <v>542</v>
      </c>
      <c r="BL164" s="507">
        <v>394</v>
      </c>
      <c r="BM164" s="508">
        <f t="shared" si="306"/>
        <v>0.35870284579748513</v>
      </c>
      <c r="BN164" s="509">
        <f t="shared" si="307"/>
        <v>0.43604183427192278</v>
      </c>
      <c r="BO164" s="506">
        <v>1541</v>
      </c>
      <c r="BP164" s="507">
        <v>1511</v>
      </c>
      <c r="BQ164" s="507">
        <v>1147</v>
      </c>
      <c r="BR164" s="507">
        <v>628</v>
      </c>
      <c r="BS164" s="507">
        <v>480</v>
      </c>
      <c r="BT164" s="508">
        <f t="shared" si="308"/>
        <v>0.41561879549966907</v>
      </c>
      <c r="BU164" s="509">
        <f t="shared" si="309"/>
        <v>0.54751525719267657</v>
      </c>
      <c r="BV164" s="506">
        <v>1647</v>
      </c>
      <c r="BW164" s="507">
        <v>1602</v>
      </c>
      <c r="BX164" s="507">
        <v>1244</v>
      </c>
      <c r="BY164" s="507">
        <v>663</v>
      </c>
      <c r="BZ164" s="507">
        <v>534</v>
      </c>
      <c r="CA164" s="508">
        <f t="shared" si="310"/>
        <v>0.41385767790262173</v>
      </c>
      <c r="CB164" s="509">
        <f t="shared" si="311"/>
        <v>0.53295819935691313</v>
      </c>
      <c r="CC164" s="506">
        <v>1602</v>
      </c>
      <c r="CD164" s="507">
        <v>1568</v>
      </c>
      <c r="CE164" s="507">
        <v>1202</v>
      </c>
      <c r="CF164" s="507">
        <v>444</v>
      </c>
      <c r="CG164" s="507">
        <v>410</v>
      </c>
      <c r="CH164" s="508">
        <f t="shared" si="312"/>
        <v>0.28316326530612246</v>
      </c>
      <c r="CI164" s="509">
        <f t="shared" si="313"/>
        <v>0.36938435940099834</v>
      </c>
      <c r="CJ164" s="506">
        <v>1800</v>
      </c>
      <c r="CK164" s="507">
        <v>1734</v>
      </c>
      <c r="CL164" s="507">
        <v>1366</v>
      </c>
      <c r="CM164" s="507">
        <v>491</v>
      </c>
      <c r="CN164" s="507">
        <v>447</v>
      </c>
      <c r="CO164" s="508">
        <f t="shared" si="314"/>
        <v>0.28316032295271049</v>
      </c>
      <c r="CP164" s="508">
        <f t="shared" si="315"/>
        <v>0.35944363103953147</v>
      </c>
      <c r="CQ164" s="508">
        <v>0.31314878892733566</v>
      </c>
      <c r="CR164" s="509">
        <v>0.39751098096632503</v>
      </c>
      <c r="CS164" s="506">
        <v>1897</v>
      </c>
      <c r="CT164" s="507">
        <v>1838</v>
      </c>
      <c r="CU164" s="507">
        <v>1423</v>
      </c>
      <c r="CV164" s="507">
        <v>517</v>
      </c>
      <c r="CW164" s="507">
        <v>436</v>
      </c>
      <c r="CX164" s="508">
        <f t="shared" si="316"/>
        <v>0.28128400435255713</v>
      </c>
      <c r="CY164" s="508">
        <f t="shared" si="317"/>
        <v>0.36331693605059734</v>
      </c>
      <c r="CZ164" s="508">
        <v>0.35963003264417848</v>
      </c>
      <c r="DA164" s="509">
        <v>0.46451159522136332</v>
      </c>
      <c r="DB164" s="506">
        <v>2017</v>
      </c>
      <c r="DC164" s="507">
        <v>1942</v>
      </c>
      <c r="DD164" s="507">
        <v>1884</v>
      </c>
      <c r="DE164" s="507">
        <v>591</v>
      </c>
      <c r="DF164" s="507">
        <v>494</v>
      </c>
      <c r="DG164" s="508">
        <f t="shared" si="318"/>
        <v>0.30432543769309989</v>
      </c>
      <c r="DH164" s="508">
        <f t="shared" si="319"/>
        <v>0.31369426751592355</v>
      </c>
      <c r="DI164" s="508">
        <v>0.37744593202883625</v>
      </c>
      <c r="DJ164" s="509">
        <v>0.38906581740976648</v>
      </c>
      <c r="DK164" s="506">
        <v>2166</v>
      </c>
      <c r="DL164" s="507">
        <v>2115</v>
      </c>
      <c r="DM164" s="507">
        <v>1651</v>
      </c>
      <c r="DN164" s="507">
        <v>720</v>
      </c>
      <c r="DO164" s="507">
        <v>508</v>
      </c>
      <c r="DP164" s="508">
        <f t="shared" si="320"/>
        <v>0.34042553191489361</v>
      </c>
      <c r="DQ164" s="508">
        <f t="shared" si="321"/>
        <v>0.436099333737129</v>
      </c>
      <c r="DR164" s="508">
        <v>0.36264775413711586</v>
      </c>
      <c r="DS164" s="509">
        <v>0.46456692913385828</v>
      </c>
      <c r="DT164" s="506">
        <v>2324</v>
      </c>
      <c r="DU164" s="507">
        <v>2263</v>
      </c>
      <c r="DV164" s="507">
        <v>1801</v>
      </c>
      <c r="DW164" s="507">
        <v>813</v>
      </c>
      <c r="DX164" s="507">
        <v>641</v>
      </c>
      <c r="DY164" s="508">
        <f t="shared" si="322"/>
        <v>0.35925762262483429</v>
      </c>
      <c r="DZ164" s="508">
        <f t="shared" si="323"/>
        <v>0.45141588006662964</v>
      </c>
      <c r="EA164" s="508">
        <v>0.39195757843570483</v>
      </c>
      <c r="EB164" s="509">
        <v>0.49250416435313715</v>
      </c>
    </row>
    <row r="165" spans="1:132" s="2" customFormat="1" x14ac:dyDescent="0.25">
      <c r="A165" s="503" t="s">
        <v>404</v>
      </c>
      <c r="B165" s="504" t="s">
        <v>412</v>
      </c>
      <c r="C165" s="505" t="s">
        <v>413</v>
      </c>
      <c r="D165" s="506">
        <v>1812</v>
      </c>
      <c r="E165" s="507">
        <v>1708</v>
      </c>
      <c r="F165" s="507">
        <v>1401</v>
      </c>
      <c r="G165" s="507">
        <v>1020</v>
      </c>
      <c r="H165" s="507">
        <v>881</v>
      </c>
      <c r="I165" s="508">
        <f t="shared" si="250"/>
        <v>0.59718969555035128</v>
      </c>
      <c r="J165" s="509">
        <f t="shared" si="251"/>
        <v>0.72805139186295498</v>
      </c>
      <c r="K165" s="506">
        <v>1827</v>
      </c>
      <c r="L165" s="507">
        <v>1719</v>
      </c>
      <c r="M165" s="507">
        <v>1396</v>
      </c>
      <c r="N165" s="507">
        <v>985</v>
      </c>
      <c r="O165" s="507">
        <v>918</v>
      </c>
      <c r="P165" s="508">
        <f t="shared" si="294"/>
        <v>0.57300756253635832</v>
      </c>
      <c r="Q165" s="509">
        <f t="shared" si="295"/>
        <v>0.70558739255014324</v>
      </c>
      <c r="R165" s="506">
        <v>2021</v>
      </c>
      <c r="S165" s="507">
        <v>1870</v>
      </c>
      <c r="T165" s="507">
        <v>1476</v>
      </c>
      <c r="U165" s="507">
        <v>847</v>
      </c>
      <c r="V165" s="507">
        <v>785</v>
      </c>
      <c r="W165" s="508">
        <f t="shared" si="248"/>
        <v>0.45294117647058824</v>
      </c>
      <c r="X165" s="509">
        <f t="shared" si="249"/>
        <v>0.57384823848238486</v>
      </c>
      <c r="Y165" s="506">
        <v>1948</v>
      </c>
      <c r="Z165" s="507">
        <v>1830</v>
      </c>
      <c r="AA165" s="507">
        <v>1425</v>
      </c>
      <c r="AB165" s="507">
        <v>859</v>
      </c>
      <c r="AC165" s="507">
        <v>774</v>
      </c>
      <c r="AD165" s="508">
        <f t="shared" si="296"/>
        <v>0.46939890710382515</v>
      </c>
      <c r="AE165" s="509">
        <f t="shared" si="297"/>
        <v>0.60280701754385968</v>
      </c>
      <c r="AF165" s="506">
        <v>1843</v>
      </c>
      <c r="AG165" s="507">
        <v>1710</v>
      </c>
      <c r="AH165" s="507">
        <v>1382</v>
      </c>
      <c r="AI165" s="507">
        <v>734</v>
      </c>
      <c r="AJ165" s="507">
        <v>633</v>
      </c>
      <c r="AK165" s="508">
        <f t="shared" si="298"/>
        <v>0.42923976608187137</v>
      </c>
      <c r="AL165" s="509">
        <f t="shared" si="299"/>
        <v>0.53111432706222861</v>
      </c>
      <c r="AM165" s="506">
        <v>1429</v>
      </c>
      <c r="AN165" s="507">
        <v>1330</v>
      </c>
      <c r="AO165" s="507">
        <v>1019</v>
      </c>
      <c r="AP165" s="507">
        <v>530</v>
      </c>
      <c r="AQ165" s="507">
        <v>523</v>
      </c>
      <c r="AR165" s="508">
        <f t="shared" si="300"/>
        <v>0.39849624060150374</v>
      </c>
      <c r="AS165" s="509">
        <f t="shared" si="301"/>
        <v>0.52011776251226693</v>
      </c>
      <c r="AT165" s="506">
        <v>1273</v>
      </c>
      <c r="AU165" s="507">
        <v>1216</v>
      </c>
      <c r="AV165" s="507">
        <v>945</v>
      </c>
      <c r="AW165" s="507">
        <v>613</v>
      </c>
      <c r="AX165" s="507">
        <v>550</v>
      </c>
      <c r="AY165" s="508">
        <f t="shared" si="302"/>
        <v>0.50411184210526316</v>
      </c>
      <c r="AZ165" s="509">
        <f t="shared" si="303"/>
        <v>0.64867724867724863</v>
      </c>
      <c r="BA165" s="506">
        <v>1139</v>
      </c>
      <c r="BB165" s="507">
        <v>1069</v>
      </c>
      <c r="BC165" s="507">
        <v>856</v>
      </c>
      <c r="BD165" s="507">
        <v>487</v>
      </c>
      <c r="BE165" s="507">
        <v>486</v>
      </c>
      <c r="BF165" s="508">
        <f t="shared" si="304"/>
        <v>0.45556594948550044</v>
      </c>
      <c r="BG165" s="509">
        <f t="shared" si="305"/>
        <v>0.56892523364485981</v>
      </c>
      <c r="BH165" s="506">
        <v>1095</v>
      </c>
      <c r="BI165" s="507">
        <v>1045</v>
      </c>
      <c r="BJ165" s="507">
        <v>832</v>
      </c>
      <c r="BK165" s="507">
        <v>496</v>
      </c>
      <c r="BL165" s="507">
        <v>496</v>
      </c>
      <c r="BM165" s="508">
        <f t="shared" si="306"/>
        <v>0.47464114832535886</v>
      </c>
      <c r="BN165" s="509">
        <f t="shared" si="307"/>
        <v>0.59615384615384615</v>
      </c>
      <c r="BO165" s="506">
        <v>1111</v>
      </c>
      <c r="BP165" s="507">
        <v>1044</v>
      </c>
      <c r="BQ165" s="507">
        <v>829</v>
      </c>
      <c r="BR165" s="507">
        <v>497</v>
      </c>
      <c r="BS165" s="507">
        <v>497</v>
      </c>
      <c r="BT165" s="508">
        <f t="shared" si="308"/>
        <v>0.47605363984674332</v>
      </c>
      <c r="BU165" s="509">
        <f t="shared" si="309"/>
        <v>0.59951749095295537</v>
      </c>
      <c r="BV165" s="506">
        <v>1534</v>
      </c>
      <c r="BW165" s="507">
        <v>1431</v>
      </c>
      <c r="BX165" s="507">
        <v>1189</v>
      </c>
      <c r="BY165" s="507">
        <v>551</v>
      </c>
      <c r="BZ165" s="507">
        <v>551</v>
      </c>
      <c r="CA165" s="508">
        <f t="shared" si="310"/>
        <v>0.38504542278127185</v>
      </c>
      <c r="CB165" s="509">
        <f t="shared" si="311"/>
        <v>0.46341463414634149</v>
      </c>
      <c r="CC165" s="506">
        <v>1160</v>
      </c>
      <c r="CD165" s="507">
        <v>1147</v>
      </c>
      <c r="CE165" s="507">
        <v>916</v>
      </c>
      <c r="CF165" s="507">
        <v>507</v>
      </c>
      <c r="CG165" s="507">
        <v>432</v>
      </c>
      <c r="CH165" s="508">
        <f t="shared" si="312"/>
        <v>0.44202266782911942</v>
      </c>
      <c r="CI165" s="509">
        <f t="shared" si="313"/>
        <v>0.55349344978165937</v>
      </c>
      <c r="CJ165" s="506">
        <v>1320</v>
      </c>
      <c r="CK165" s="507">
        <v>1287</v>
      </c>
      <c r="CL165" s="507">
        <v>1051</v>
      </c>
      <c r="CM165" s="507">
        <v>470</v>
      </c>
      <c r="CN165" s="507">
        <v>445</v>
      </c>
      <c r="CO165" s="508">
        <f t="shared" si="314"/>
        <v>0.36519036519036518</v>
      </c>
      <c r="CP165" s="508">
        <f t="shared" si="315"/>
        <v>0.44719314938154137</v>
      </c>
      <c r="CQ165" s="508">
        <v>0.4630924630924631</v>
      </c>
      <c r="CR165" s="509">
        <v>0.56707897240723126</v>
      </c>
      <c r="CS165" s="506">
        <v>1245</v>
      </c>
      <c r="CT165" s="507">
        <v>1237</v>
      </c>
      <c r="CU165" s="507">
        <v>973</v>
      </c>
      <c r="CV165" s="507">
        <v>504</v>
      </c>
      <c r="CW165" s="507">
        <v>485</v>
      </c>
      <c r="CX165" s="508">
        <f t="shared" si="316"/>
        <v>0.40743734842360552</v>
      </c>
      <c r="CY165" s="508">
        <f t="shared" si="317"/>
        <v>0.51798561151079137</v>
      </c>
      <c r="CZ165" s="508">
        <v>0.51980598221503638</v>
      </c>
      <c r="DA165" s="509">
        <v>0.66084275436793427</v>
      </c>
      <c r="DB165" s="506">
        <v>1421</v>
      </c>
      <c r="DC165" s="507">
        <v>1390</v>
      </c>
      <c r="DD165" s="507">
        <v>1256</v>
      </c>
      <c r="DE165" s="507">
        <v>523</v>
      </c>
      <c r="DF165" s="507">
        <v>505</v>
      </c>
      <c r="DG165" s="508">
        <f t="shared" si="318"/>
        <v>0.37625899280575542</v>
      </c>
      <c r="DH165" s="508">
        <f t="shared" si="319"/>
        <v>0.41640127388535031</v>
      </c>
      <c r="DI165" s="508">
        <v>0.5071942446043165</v>
      </c>
      <c r="DJ165" s="509">
        <v>0.56130573248407645</v>
      </c>
      <c r="DK165" s="506">
        <v>1405</v>
      </c>
      <c r="DL165" s="507">
        <v>1395</v>
      </c>
      <c r="DM165" s="507">
        <v>1241</v>
      </c>
      <c r="DN165" s="507">
        <v>576</v>
      </c>
      <c r="DO165" s="507">
        <v>510</v>
      </c>
      <c r="DP165" s="508">
        <f t="shared" si="320"/>
        <v>0.41290322580645161</v>
      </c>
      <c r="DQ165" s="508">
        <f t="shared" si="321"/>
        <v>0.46414182111200647</v>
      </c>
      <c r="DR165" s="508">
        <v>0.54838709677419351</v>
      </c>
      <c r="DS165" s="509">
        <v>0.61643835616438358</v>
      </c>
      <c r="DT165" s="506">
        <v>1413</v>
      </c>
      <c r="DU165" s="507">
        <v>1398</v>
      </c>
      <c r="DV165" s="507">
        <v>1241</v>
      </c>
      <c r="DW165" s="507">
        <v>680</v>
      </c>
      <c r="DX165" s="507">
        <v>594</v>
      </c>
      <c r="DY165" s="508">
        <f t="shared" si="322"/>
        <v>0.48640915593705292</v>
      </c>
      <c r="DZ165" s="508">
        <f t="shared" si="323"/>
        <v>0.54794520547945202</v>
      </c>
      <c r="EA165" s="508">
        <v>0.61587982832618027</v>
      </c>
      <c r="EB165" s="509">
        <v>0.69379532634971797</v>
      </c>
    </row>
    <row r="166" spans="1:132" s="2" customFormat="1" x14ac:dyDescent="0.25">
      <c r="A166" s="503" t="s">
        <v>404</v>
      </c>
      <c r="B166" s="504" t="s">
        <v>414</v>
      </c>
      <c r="C166" s="505" t="s">
        <v>415</v>
      </c>
      <c r="D166" s="506">
        <v>3001</v>
      </c>
      <c r="E166" s="507">
        <v>2999</v>
      </c>
      <c r="F166" s="507">
        <v>2999</v>
      </c>
      <c r="G166" s="507">
        <v>659</v>
      </c>
      <c r="H166" s="507">
        <v>659</v>
      </c>
      <c r="I166" s="508">
        <f t="shared" si="250"/>
        <v>0.21973991330443482</v>
      </c>
      <c r="J166" s="509">
        <f t="shared" si="251"/>
        <v>0.21973991330443482</v>
      </c>
      <c r="K166" s="506">
        <v>3094</v>
      </c>
      <c r="L166" s="507">
        <v>3093</v>
      </c>
      <c r="M166" s="507">
        <v>3093</v>
      </c>
      <c r="N166" s="507">
        <v>732</v>
      </c>
      <c r="O166" s="507">
        <v>732</v>
      </c>
      <c r="P166" s="508">
        <f t="shared" si="294"/>
        <v>0.23666343355965083</v>
      </c>
      <c r="Q166" s="509">
        <f t="shared" si="295"/>
        <v>0.23666343355965083</v>
      </c>
      <c r="R166" s="506">
        <v>2505</v>
      </c>
      <c r="S166" s="507">
        <v>2471</v>
      </c>
      <c r="T166" s="507">
        <v>2471</v>
      </c>
      <c r="U166" s="507">
        <v>810</v>
      </c>
      <c r="V166" s="507">
        <v>810</v>
      </c>
      <c r="W166" s="508">
        <f t="shared" si="248"/>
        <v>0.32780250910562525</v>
      </c>
      <c r="X166" s="509">
        <f t="shared" si="249"/>
        <v>0.32780250910562525</v>
      </c>
      <c r="Y166" s="506">
        <v>2067</v>
      </c>
      <c r="Z166" s="507">
        <v>2041</v>
      </c>
      <c r="AA166" s="507">
        <v>2041</v>
      </c>
      <c r="AB166" s="507">
        <v>616</v>
      </c>
      <c r="AC166" s="507">
        <v>616</v>
      </c>
      <c r="AD166" s="508">
        <f t="shared" si="296"/>
        <v>0.30181283684468396</v>
      </c>
      <c r="AE166" s="509">
        <f t="shared" si="297"/>
        <v>0.30181283684468396</v>
      </c>
      <c r="AF166" s="506">
        <v>1652</v>
      </c>
      <c r="AG166" s="507">
        <v>1629</v>
      </c>
      <c r="AH166" s="507">
        <v>1141</v>
      </c>
      <c r="AI166" s="507">
        <v>619</v>
      </c>
      <c r="AJ166" s="507">
        <v>618</v>
      </c>
      <c r="AK166" s="508">
        <f t="shared" si="298"/>
        <v>0.37998772252915897</v>
      </c>
      <c r="AL166" s="509">
        <f t="shared" si="299"/>
        <v>0.54250657318141982</v>
      </c>
      <c r="AM166" s="506">
        <v>1393</v>
      </c>
      <c r="AN166" s="507">
        <v>1362</v>
      </c>
      <c r="AO166" s="507">
        <v>1362</v>
      </c>
      <c r="AP166" s="507">
        <v>529</v>
      </c>
      <c r="AQ166" s="507">
        <v>529</v>
      </c>
      <c r="AR166" s="508">
        <f t="shared" si="300"/>
        <v>0.38839941262848754</v>
      </c>
      <c r="AS166" s="509">
        <f t="shared" si="301"/>
        <v>0.38839941262848754</v>
      </c>
      <c r="AT166" s="506">
        <v>1428</v>
      </c>
      <c r="AU166" s="507">
        <v>1395</v>
      </c>
      <c r="AV166" s="507">
        <v>1395</v>
      </c>
      <c r="AW166" s="507">
        <v>548</v>
      </c>
      <c r="AX166" s="507">
        <v>545</v>
      </c>
      <c r="AY166" s="508">
        <f t="shared" si="302"/>
        <v>0.392831541218638</v>
      </c>
      <c r="AZ166" s="509">
        <f t="shared" si="303"/>
        <v>0.392831541218638</v>
      </c>
      <c r="BA166" s="506">
        <v>1172</v>
      </c>
      <c r="BB166" s="507">
        <v>1148</v>
      </c>
      <c r="BC166" s="507">
        <v>1148</v>
      </c>
      <c r="BD166" s="507">
        <v>497</v>
      </c>
      <c r="BE166" s="507">
        <v>496</v>
      </c>
      <c r="BF166" s="508">
        <f t="shared" si="304"/>
        <v>0.43292682926829268</v>
      </c>
      <c r="BG166" s="509">
        <f t="shared" si="305"/>
        <v>0.43292682926829268</v>
      </c>
      <c r="BH166" s="506">
        <v>1112</v>
      </c>
      <c r="BI166" s="507">
        <v>1080</v>
      </c>
      <c r="BJ166" s="507">
        <v>1080</v>
      </c>
      <c r="BK166" s="507">
        <v>449</v>
      </c>
      <c r="BL166" s="507">
        <v>449</v>
      </c>
      <c r="BM166" s="508">
        <f t="shared" si="306"/>
        <v>0.41574074074074074</v>
      </c>
      <c r="BN166" s="509">
        <f t="shared" si="307"/>
        <v>0.41574074074074074</v>
      </c>
      <c r="BO166" s="506">
        <v>888</v>
      </c>
      <c r="BP166" s="507">
        <v>860</v>
      </c>
      <c r="BQ166" s="507">
        <v>860</v>
      </c>
      <c r="BR166" s="507">
        <v>380</v>
      </c>
      <c r="BS166" s="507">
        <v>379</v>
      </c>
      <c r="BT166" s="508">
        <f t="shared" si="308"/>
        <v>0.44186046511627908</v>
      </c>
      <c r="BU166" s="509">
        <f t="shared" si="309"/>
        <v>0.44186046511627908</v>
      </c>
      <c r="BV166" s="506">
        <v>848</v>
      </c>
      <c r="BW166" s="507">
        <v>810</v>
      </c>
      <c r="BX166" s="507">
        <v>810</v>
      </c>
      <c r="BY166" s="507">
        <v>407</v>
      </c>
      <c r="BZ166" s="507">
        <v>404</v>
      </c>
      <c r="CA166" s="508">
        <f t="shared" si="310"/>
        <v>0.5024691358024691</v>
      </c>
      <c r="CB166" s="509">
        <f t="shared" si="311"/>
        <v>0.5024691358024691</v>
      </c>
      <c r="CC166" s="506">
        <v>805</v>
      </c>
      <c r="CD166" s="507">
        <v>773</v>
      </c>
      <c r="CE166" s="507">
        <v>773</v>
      </c>
      <c r="CF166" s="507">
        <v>395</v>
      </c>
      <c r="CG166" s="507">
        <v>384</v>
      </c>
      <c r="CH166" s="508">
        <f t="shared" si="312"/>
        <v>0.51099611901681763</v>
      </c>
      <c r="CI166" s="509">
        <f t="shared" si="313"/>
        <v>0.51099611901681763</v>
      </c>
      <c r="CJ166" s="506">
        <v>814</v>
      </c>
      <c r="CK166" s="507">
        <v>780</v>
      </c>
      <c r="CL166" s="507">
        <v>778</v>
      </c>
      <c r="CM166" s="507">
        <v>465</v>
      </c>
      <c r="CN166" s="507">
        <v>391</v>
      </c>
      <c r="CO166" s="508">
        <f t="shared" si="314"/>
        <v>0.59615384615384615</v>
      </c>
      <c r="CP166" s="508">
        <f t="shared" si="315"/>
        <v>0.59768637532133673</v>
      </c>
      <c r="CQ166" s="508">
        <v>0.78717948717948716</v>
      </c>
      <c r="CR166" s="509">
        <v>0.78920308483290491</v>
      </c>
      <c r="CS166" s="506">
        <v>932</v>
      </c>
      <c r="CT166" s="507">
        <v>885</v>
      </c>
      <c r="CU166" s="507">
        <v>883</v>
      </c>
      <c r="CV166" s="507">
        <v>462</v>
      </c>
      <c r="CW166" s="507">
        <v>388</v>
      </c>
      <c r="CX166" s="508">
        <f t="shared" si="316"/>
        <v>0.52203389830508473</v>
      </c>
      <c r="CY166" s="508">
        <f t="shared" si="317"/>
        <v>0.52321630804077013</v>
      </c>
      <c r="CZ166" s="508">
        <v>0.52203389830508473</v>
      </c>
      <c r="DA166" s="509">
        <v>0.52321630804077013</v>
      </c>
      <c r="DB166" s="506">
        <v>883</v>
      </c>
      <c r="DC166" s="507">
        <v>834</v>
      </c>
      <c r="DD166" s="507">
        <v>834</v>
      </c>
      <c r="DE166" s="507">
        <v>419</v>
      </c>
      <c r="DF166" s="507">
        <v>379</v>
      </c>
      <c r="DG166" s="508">
        <f t="shared" si="318"/>
        <v>0.50239808153477217</v>
      </c>
      <c r="DH166" s="508">
        <f t="shared" si="319"/>
        <v>0.50239808153477217</v>
      </c>
      <c r="DI166" s="508">
        <v>0.69184652278177461</v>
      </c>
      <c r="DJ166" s="509">
        <v>0.69184652278177461</v>
      </c>
      <c r="DK166" s="506">
        <v>886</v>
      </c>
      <c r="DL166" s="507">
        <v>849</v>
      </c>
      <c r="DM166" s="507">
        <v>848</v>
      </c>
      <c r="DN166" s="507">
        <v>758</v>
      </c>
      <c r="DO166" s="507">
        <v>386</v>
      </c>
      <c r="DP166" s="508">
        <f t="shared" si="320"/>
        <v>0.89281507656065962</v>
      </c>
      <c r="DQ166" s="508">
        <f t="shared" si="321"/>
        <v>0.89386792452830188</v>
      </c>
      <c r="DR166" s="508">
        <v>0.89281507656065962</v>
      </c>
      <c r="DS166" s="509">
        <v>0.89386792452830188</v>
      </c>
      <c r="DT166" s="506">
        <v>968</v>
      </c>
      <c r="DU166" s="507">
        <v>965</v>
      </c>
      <c r="DV166" s="507">
        <v>962</v>
      </c>
      <c r="DW166" s="507">
        <v>817</v>
      </c>
      <c r="DX166" s="507">
        <v>419</v>
      </c>
      <c r="DY166" s="508">
        <f t="shared" si="322"/>
        <v>0.84663212435233159</v>
      </c>
      <c r="DZ166" s="508">
        <f t="shared" si="323"/>
        <v>0.84927234927234929</v>
      </c>
      <c r="EA166" s="508">
        <v>0.84663212435233159</v>
      </c>
      <c r="EB166" s="509">
        <v>0.84927234927234929</v>
      </c>
    </row>
    <row r="167" spans="1:132" s="2" customFormat="1" x14ac:dyDescent="0.25">
      <c r="A167" s="511" t="s">
        <v>404</v>
      </c>
      <c r="B167" s="512" t="s">
        <v>416</v>
      </c>
      <c r="C167" s="532" t="s">
        <v>417</v>
      </c>
      <c r="D167" s="514">
        <v>864</v>
      </c>
      <c r="E167" s="515">
        <v>864</v>
      </c>
      <c r="F167" s="515">
        <v>536</v>
      </c>
      <c r="G167" s="515">
        <v>416</v>
      </c>
      <c r="H167" s="515">
        <v>281</v>
      </c>
      <c r="I167" s="516">
        <f t="shared" si="250"/>
        <v>0.48148148148148145</v>
      </c>
      <c r="J167" s="517">
        <f t="shared" si="251"/>
        <v>0.77611940298507465</v>
      </c>
      <c r="K167" s="514">
        <v>1018</v>
      </c>
      <c r="L167" s="515">
        <v>1012</v>
      </c>
      <c r="M167" s="515">
        <v>732</v>
      </c>
      <c r="N167" s="515">
        <v>571</v>
      </c>
      <c r="O167" s="515">
        <v>316</v>
      </c>
      <c r="P167" s="516">
        <f t="shared" si="294"/>
        <v>0.56422924901185767</v>
      </c>
      <c r="Q167" s="517">
        <f t="shared" si="295"/>
        <v>0.7800546448087432</v>
      </c>
      <c r="R167" s="514">
        <v>932</v>
      </c>
      <c r="S167" s="515">
        <v>918</v>
      </c>
      <c r="T167" s="515">
        <v>688</v>
      </c>
      <c r="U167" s="515">
        <v>587</v>
      </c>
      <c r="V167" s="515">
        <v>316</v>
      </c>
      <c r="W167" s="516">
        <f t="shared" si="248"/>
        <v>0.63943355119825707</v>
      </c>
      <c r="X167" s="517">
        <f t="shared" si="249"/>
        <v>0.85319767441860461</v>
      </c>
      <c r="Y167" s="514">
        <v>827</v>
      </c>
      <c r="Z167" s="515">
        <v>815</v>
      </c>
      <c r="AA167" s="515">
        <v>686</v>
      </c>
      <c r="AB167" s="515">
        <v>552</v>
      </c>
      <c r="AC167" s="515">
        <v>287</v>
      </c>
      <c r="AD167" s="516">
        <f t="shared" si="296"/>
        <v>0.67730061349693249</v>
      </c>
      <c r="AE167" s="517">
        <f t="shared" si="297"/>
        <v>0.80466472303206993</v>
      </c>
      <c r="AF167" s="514">
        <v>731</v>
      </c>
      <c r="AG167" s="515">
        <v>723</v>
      </c>
      <c r="AH167" s="515">
        <v>581</v>
      </c>
      <c r="AI167" s="515">
        <v>494</v>
      </c>
      <c r="AJ167" s="515">
        <v>261</v>
      </c>
      <c r="AK167" s="516">
        <f t="shared" si="298"/>
        <v>0.68326417704011067</v>
      </c>
      <c r="AL167" s="517">
        <f t="shared" si="299"/>
        <v>0.85025817555938032</v>
      </c>
      <c r="AM167" s="514">
        <v>635</v>
      </c>
      <c r="AN167" s="515">
        <v>623</v>
      </c>
      <c r="AO167" s="515">
        <v>490</v>
      </c>
      <c r="AP167" s="515">
        <v>450</v>
      </c>
      <c r="AQ167" s="515">
        <v>245</v>
      </c>
      <c r="AR167" s="516">
        <f t="shared" si="300"/>
        <v>0.7223113964686998</v>
      </c>
      <c r="AS167" s="517">
        <f t="shared" si="301"/>
        <v>0.91836734693877553</v>
      </c>
      <c r="AT167" s="514">
        <v>529</v>
      </c>
      <c r="AU167" s="515">
        <v>522</v>
      </c>
      <c r="AV167" s="515">
        <v>413</v>
      </c>
      <c r="AW167" s="515">
        <v>360</v>
      </c>
      <c r="AX167" s="515">
        <v>196</v>
      </c>
      <c r="AY167" s="516">
        <f t="shared" si="302"/>
        <v>0.68965517241379315</v>
      </c>
      <c r="AZ167" s="517">
        <f t="shared" si="303"/>
        <v>0.87167070217917675</v>
      </c>
      <c r="BA167" s="514">
        <v>380</v>
      </c>
      <c r="BB167" s="515">
        <v>378</v>
      </c>
      <c r="BC167" s="515">
        <v>303</v>
      </c>
      <c r="BD167" s="515">
        <v>257</v>
      </c>
      <c r="BE167" s="515">
        <v>141</v>
      </c>
      <c r="BF167" s="516">
        <f t="shared" si="304"/>
        <v>0.67989417989417988</v>
      </c>
      <c r="BG167" s="517">
        <f t="shared" si="305"/>
        <v>0.84818481848184824</v>
      </c>
      <c r="BH167" s="514">
        <v>342</v>
      </c>
      <c r="BI167" s="515">
        <v>340</v>
      </c>
      <c r="BJ167" s="515">
        <v>296</v>
      </c>
      <c r="BK167" s="515">
        <v>264</v>
      </c>
      <c r="BL167" s="515">
        <v>146</v>
      </c>
      <c r="BM167" s="516">
        <f t="shared" si="306"/>
        <v>0.77647058823529413</v>
      </c>
      <c r="BN167" s="517">
        <f t="shared" si="307"/>
        <v>0.89189189189189189</v>
      </c>
      <c r="BO167" s="514">
        <v>278</v>
      </c>
      <c r="BP167" s="515">
        <v>276</v>
      </c>
      <c r="BQ167" s="515">
        <v>224</v>
      </c>
      <c r="BR167" s="515">
        <v>215</v>
      </c>
      <c r="BS167" s="515">
        <v>128</v>
      </c>
      <c r="BT167" s="516">
        <f t="shared" si="308"/>
        <v>0.77898550724637683</v>
      </c>
      <c r="BU167" s="517">
        <f t="shared" si="309"/>
        <v>0.9598214285714286</v>
      </c>
      <c r="BV167" s="514">
        <v>284</v>
      </c>
      <c r="BW167" s="515">
        <v>282</v>
      </c>
      <c r="BX167" s="515">
        <v>245</v>
      </c>
      <c r="BY167" s="515">
        <v>236</v>
      </c>
      <c r="BZ167" s="515">
        <v>115</v>
      </c>
      <c r="CA167" s="516">
        <f t="shared" si="310"/>
        <v>0.83687943262411346</v>
      </c>
      <c r="CB167" s="517">
        <f t="shared" si="311"/>
        <v>0.96326530612244898</v>
      </c>
      <c r="CC167" s="514">
        <v>283</v>
      </c>
      <c r="CD167" s="515">
        <v>281</v>
      </c>
      <c r="CE167" s="515">
        <v>259</v>
      </c>
      <c r="CF167" s="515">
        <v>259</v>
      </c>
      <c r="CG167" s="515">
        <v>134</v>
      </c>
      <c r="CH167" s="516">
        <f t="shared" si="312"/>
        <v>0.92170818505338081</v>
      </c>
      <c r="CI167" s="517">
        <f t="shared" si="313"/>
        <v>1</v>
      </c>
      <c r="CJ167" s="514">
        <v>343</v>
      </c>
      <c r="CK167" s="515">
        <v>340</v>
      </c>
      <c r="CL167" s="515">
        <v>308</v>
      </c>
      <c r="CM167" s="515">
        <v>301</v>
      </c>
      <c r="CN167" s="515">
        <v>144</v>
      </c>
      <c r="CO167" s="516">
        <f t="shared" si="314"/>
        <v>0.88529411764705879</v>
      </c>
      <c r="CP167" s="516">
        <f t="shared" si="315"/>
        <v>0.97727272727272729</v>
      </c>
      <c r="CQ167" s="516">
        <v>0.88529411764705879</v>
      </c>
      <c r="CR167" s="517">
        <v>0.97727272727272729</v>
      </c>
      <c r="CS167" s="514">
        <v>484</v>
      </c>
      <c r="CT167" s="515">
        <v>468</v>
      </c>
      <c r="CU167" s="515">
        <v>468</v>
      </c>
      <c r="CV167" s="515">
        <v>381</v>
      </c>
      <c r="CW167" s="515">
        <v>188</v>
      </c>
      <c r="CX167" s="516">
        <f t="shared" si="316"/>
        <v>0.8141025641025641</v>
      </c>
      <c r="CY167" s="516">
        <f t="shared" si="317"/>
        <v>0.8141025641025641</v>
      </c>
      <c r="CZ167" s="516">
        <v>0.87606837606837606</v>
      </c>
      <c r="DA167" s="517">
        <v>0.87606837606837606</v>
      </c>
      <c r="DB167" s="514">
        <v>568</v>
      </c>
      <c r="DC167" s="515">
        <v>551</v>
      </c>
      <c r="DD167" s="515">
        <v>551</v>
      </c>
      <c r="DE167" s="515">
        <v>466</v>
      </c>
      <c r="DF167" s="515">
        <v>228</v>
      </c>
      <c r="DG167" s="516">
        <f t="shared" si="318"/>
        <v>0.84573502722323046</v>
      </c>
      <c r="DH167" s="516">
        <f t="shared" si="319"/>
        <v>0.84573502722323046</v>
      </c>
      <c r="DI167" s="516">
        <v>0.90381125226860259</v>
      </c>
      <c r="DJ167" s="517">
        <v>0.90381125226860259</v>
      </c>
      <c r="DK167" s="514">
        <v>687</v>
      </c>
      <c r="DL167" s="515">
        <v>662</v>
      </c>
      <c r="DM167" s="515">
        <v>662</v>
      </c>
      <c r="DN167" s="515">
        <v>535</v>
      </c>
      <c r="DO167" s="515">
        <v>293</v>
      </c>
      <c r="DP167" s="516">
        <f t="shared" si="320"/>
        <v>0.80815709969788518</v>
      </c>
      <c r="DQ167" s="516">
        <f t="shared" si="321"/>
        <v>0.80815709969788518</v>
      </c>
      <c r="DR167" s="516">
        <v>0.84441087613293053</v>
      </c>
      <c r="DS167" s="517">
        <v>0.84441087613293053</v>
      </c>
      <c r="DT167" s="514">
        <v>741</v>
      </c>
      <c r="DU167" s="515">
        <v>722</v>
      </c>
      <c r="DV167" s="515">
        <v>626</v>
      </c>
      <c r="DW167" s="515">
        <v>492</v>
      </c>
      <c r="DX167" s="515">
        <v>219</v>
      </c>
      <c r="DY167" s="516">
        <f t="shared" si="322"/>
        <v>0.68144044321329644</v>
      </c>
      <c r="DZ167" s="516">
        <f t="shared" si="323"/>
        <v>0.78594249201277955</v>
      </c>
      <c r="EA167" s="516">
        <v>0.68144044321329644</v>
      </c>
      <c r="EB167" s="517">
        <v>0.78594249201277955</v>
      </c>
    </row>
    <row r="168" spans="1:132" s="2" customFormat="1" x14ac:dyDescent="0.25">
      <c r="A168" s="551" t="s">
        <v>418</v>
      </c>
      <c r="B168" s="489" t="s">
        <v>419</v>
      </c>
      <c r="C168" s="553"/>
      <c r="D168" s="558">
        <v>13672</v>
      </c>
      <c r="E168" s="559">
        <v>10275</v>
      </c>
      <c r="F168" s="559">
        <v>8309</v>
      </c>
      <c r="G168" s="559">
        <v>6695</v>
      </c>
      <c r="H168" s="560">
        <v>5546</v>
      </c>
      <c r="I168" s="561">
        <f t="shared" si="250"/>
        <v>0.65158150851581509</v>
      </c>
      <c r="J168" s="562">
        <f t="shared" si="251"/>
        <v>0.80575279817065837</v>
      </c>
      <c r="K168" s="558">
        <v>14116</v>
      </c>
      <c r="L168" s="559">
        <v>10889</v>
      </c>
      <c r="M168" s="559">
        <v>8748</v>
      </c>
      <c r="N168" s="559">
        <v>6781</v>
      </c>
      <c r="O168" s="560">
        <v>5760</v>
      </c>
      <c r="P168" s="561">
        <f t="shared" si="294"/>
        <v>0.62273854348425017</v>
      </c>
      <c r="Q168" s="562">
        <f t="shared" si="295"/>
        <v>0.775148605395519</v>
      </c>
      <c r="R168" s="558">
        <v>13866</v>
      </c>
      <c r="S168" s="559">
        <v>10642</v>
      </c>
      <c r="T168" s="559">
        <v>9190</v>
      </c>
      <c r="U168" s="559">
        <v>7313</v>
      </c>
      <c r="V168" s="560">
        <v>6010</v>
      </c>
      <c r="W168" s="561">
        <f t="shared" si="248"/>
        <v>0.68718286036459308</v>
      </c>
      <c r="X168" s="562">
        <f t="shared" si="249"/>
        <v>0.79575625680087048</v>
      </c>
      <c r="Y168" s="558">
        <v>15754</v>
      </c>
      <c r="Z168" s="559">
        <v>12191</v>
      </c>
      <c r="AA168" s="559">
        <v>10286</v>
      </c>
      <c r="AB168" s="559">
        <v>8278</v>
      </c>
      <c r="AC168" s="560">
        <v>6785</v>
      </c>
      <c r="AD168" s="561">
        <f t="shared" si="296"/>
        <v>0.67902551062259042</v>
      </c>
      <c r="AE168" s="562">
        <f t="shared" si="297"/>
        <v>0.80478320046665375</v>
      </c>
      <c r="AF168" s="558">
        <v>16024</v>
      </c>
      <c r="AG168" s="559">
        <v>12312</v>
      </c>
      <c r="AH168" s="559">
        <v>9970</v>
      </c>
      <c r="AI168" s="559">
        <v>7564</v>
      </c>
      <c r="AJ168" s="560">
        <v>6061</v>
      </c>
      <c r="AK168" s="561">
        <f t="shared" si="298"/>
        <v>0.61435997400909681</v>
      </c>
      <c r="AL168" s="562">
        <f t="shared" si="299"/>
        <v>0.75867602808425272</v>
      </c>
      <c r="AM168" s="558">
        <v>14824</v>
      </c>
      <c r="AN168" s="559">
        <v>11489</v>
      </c>
      <c r="AO168" s="559">
        <v>9163</v>
      </c>
      <c r="AP168" s="559">
        <v>6894</v>
      </c>
      <c r="AQ168" s="560">
        <v>5379</v>
      </c>
      <c r="AR168" s="561">
        <f t="shared" si="300"/>
        <v>0.60005222386630686</v>
      </c>
      <c r="AS168" s="562">
        <f t="shared" si="301"/>
        <v>0.75237367674342459</v>
      </c>
      <c r="AT168" s="558">
        <v>13167</v>
      </c>
      <c r="AU168" s="559">
        <v>10199</v>
      </c>
      <c r="AV168" s="559">
        <v>7893</v>
      </c>
      <c r="AW168" s="559">
        <v>6284</v>
      </c>
      <c r="AX168" s="560">
        <v>5030</v>
      </c>
      <c r="AY168" s="561">
        <f t="shared" si="302"/>
        <v>0.61613883714089612</v>
      </c>
      <c r="AZ168" s="562">
        <f t="shared" si="303"/>
        <v>0.79614848600025334</v>
      </c>
      <c r="BA168" s="558">
        <v>11517</v>
      </c>
      <c r="BB168" s="559">
        <v>8907</v>
      </c>
      <c r="BC168" s="559">
        <v>7000</v>
      </c>
      <c r="BD168" s="559">
        <v>6188</v>
      </c>
      <c r="BE168" s="560">
        <v>4878</v>
      </c>
      <c r="BF168" s="561">
        <f t="shared" si="304"/>
        <v>0.6947344785000561</v>
      </c>
      <c r="BG168" s="562">
        <f t="shared" si="305"/>
        <v>0.88400000000000001</v>
      </c>
      <c r="BH168" s="558">
        <v>11474</v>
      </c>
      <c r="BI168" s="559">
        <v>8948</v>
      </c>
      <c r="BJ168" s="559">
        <v>8395</v>
      </c>
      <c r="BK168" s="559">
        <v>6942</v>
      </c>
      <c r="BL168" s="560">
        <v>5549</v>
      </c>
      <c r="BM168" s="561">
        <f t="shared" si="306"/>
        <v>0.77581582476531064</v>
      </c>
      <c r="BN168" s="562">
        <f t="shared" si="307"/>
        <v>0.82692078618225129</v>
      </c>
      <c r="BO168" s="558">
        <v>10847</v>
      </c>
      <c r="BP168" s="559">
        <v>8613</v>
      </c>
      <c r="BQ168" s="559">
        <v>7535</v>
      </c>
      <c r="BR168" s="559">
        <v>6563</v>
      </c>
      <c r="BS168" s="560">
        <v>5202</v>
      </c>
      <c r="BT168" s="561">
        <f t="shared" si="308"/>
        <v>0.76198769302217573</v>
      </c>
      <c r="BU168" s="562">
        <f t="shared" si="309"/>
        <v>0.87100199071001994</v>
      </c>
      <c r="BV168" s="558">
        <v>11379</v>
      </c>
      <c r="BW168" s="559">
        <v>8845</v>
      </c>
      <c r="BX168" s="559">
        <v>7816</v>
      </c>
      <c r="BY168" s="559">
        <v>6949</v>
      </c>
      <c r="BZ168" s="560">
        <v>5472</v>
      </c>
      <c r="CA168" s="561">
        <f t="shared" si="310"/>
        <v>0.78564160542679484</v>
      </c>
      <c r="CB168" s="562">
        <f t="shared" si="311"/>
        <v>0.88907369498464683</v>
      </c>
      <c r="CC168" s="558">
        <v>11033</v>
      </c>
      <c r="CD168" s="559">
        <v>8798</v>
      </c>
      <c r="CE168" s="559">
        <v>8645</v>
      </c>
      <c r="CF168" s="559">
        <v>6742</v>
      </c>
      <c r="CG168" s="560">
        <v>6040</v>
      </c>
      <c r="CH168" s="561">
        <f t="shared" si="312"/>
        <v>0.76631052511934528</v>
      </c>
      <c r="CI168" s="562">
        <f t="shared" si="313"/>
        <v>0.77987275882012719</v>
      </c>
      <c r="CJ168" s="558">
        <v>10885</v>
      </c>
      <c r="CK168" s="559">
        <v>8343</v>
      </c>
      <c r="CL168" s="559">
        <v>7699</v>
      </c>
      <c r="CM168" s="559">
        <v>5895</v>
      </c>
      <c r="CN168" s="560">
        <v>5134</v>
      </c>
      <c r="CO168" s="561">
        <f t="shared" si="314"/>
        <v>0.7065803667745415</v>
      </c>
      <c r="CP168" s="664">
        <f t="shared" si="315"/>
        <v>0.76568385504610992</v>
      </c>
      <c r="CQ168" s="561">
        <v>0.86587558432218625</v>
      </c>
      <c r="CR168" s="562">
        <v>0.93830367580205221</v>
      </c>
      <c r="CS168" s="558">
        <v>11010</v>
      </c>
      <c r="CT168" s="559">
        <v>8363</v>
      </c>
      <c r="CU168" s="559">
        <v>7444</v>
      </c>
      <c r="CV168" s="559">
        <v>5518</v>
      </c>
      <c r="CW168" s="560">
        <v>5008</v>
      </c>
      <c r="CX168" s="561">
        <f t="shared" si="316"/>
        <v>0.65981107258160943</v>
      </c>
      <c r="CY168" s="664">
        <f t="shared" si="317"/>
        <v>0.74126813541106928</v>
      </c>
      <c r="CZ168" s="561">
        <v>0.81394236517995933</v>
      </c>
      <c r="DA168" s="562">
        <v>0.9144277270284793</v>
      </c>
      <c r="DB168" s="558">
        <v>11138</v>
      </c>
      <c r="DC168" s="559">
        <v>8549</v>
      </c>
      <c r="DD168" s="559">
        <v>7489</v>
      </c>
      <c r="DE168" s="559">
        <v>5908</v>
      </c>
      <c r="DF168" s="560">
        <v>5313</v>
      </c>
      <c r="DG168" s="561">
        <f t="shared" si="318"/>
        <v>0.6910749795297696</v>
      </c>
      <c r="DH168" s="664">
        <f t="shared" si="319"/>
        <v>0.78889037254640137</v>
      </c>
      <c r="DI168" s="561">
        <v>0.81530003509182358</v>
      </c>
      <c r="DJ168" s="562">
        <v>0.93069835759113362</v>
      </c>
      <c r="DK168" s="558">
        <v>11232</v>
      </c>
      <c r="DL168" s="559">
        <v>8470</v>
      </c>
      <c r="DM168" s="559">
        <v>7306</v>
      </c>
      <c r="DN168" s="559">
        <v>5751</v>
      </c>
      <c r="DO168" s="560">
        <v>5168</v>
      </c>
      <c r="DP168" s="561">
        <f t="shared" si="320"/>
        <v>0.67898465171192446</v>
      </c>
      <c r="DQ168" s="664">
        <f t="shared" si="321"/>
        <v>0.78716123733917331</v>
      </c>
      <c r="DR168" s="561">
        <v>0.79929161747343569</v>
      </c>
      <c r="DS168" s="562">
        <v>0.92663564193813308</v>
      </c>
      <c r="DT168" s="558">
        <v>13440</v>
      </c>
      <c r="DU168" s="559">
        <v>9878</v>
      </c>
      <c r="DV168" s="559">
        <v>8515</v>
      </c>
      <c r="DW168" s="559">
        <v>6721</v>
      </c>
      <c r="DX168" s="560">
        <v>5993</v>
      </c>
      <c r="DY168" s="561">
        <f t="shared" si="322"/>
        <v>0.6804008908685969</v>
      </c>
      <c r="DZ168" s="664">
        <f t="shared" si="323"/>
        <v>0.78931297709923665</v>
      </c>
      <c r="EA168" s="561">
        <v>0.77829520145778497</v>
      </c>
      <c r="EB168" s="562">
        <v>0.90287727539635931</v>
      </c>
    </row>
    <row r="169" spans="1:132" s="2" customFormat="1" x14ac:dyDescent="0.25">
      <c r="A169" s="554" t="s">
        <v>418</v>
      </c>
      <c r="B169" s="497" t="s">
        <v>420</v>
      </c>
      <c r="C169" s="556" t="s">
        <v>421</v>
      </c>
      <c r="D169" s="499">
        <v>6773</v>
      </c>
      <c r="E169" s="500">
        <v>4994</v>
      </c>
      <c r="F169" s="500">
        <v>3725</v>
      </c>
      <c r="G169" s="500">
        <v>2297</v>
      </c>
      <c r="H169" s="500">
        <v>1786</v>
      </c>
      <c r="I169" s="501">
        <f t="shared" si="250"/>
        <v>0.45995194233079695</v>
      </c>
      <c r="J169" s="502">
        <f t="shared" si="251"/>
        <v>0.61664429530201337</v>
      </c>
      <c r="K169" s="499">
        <v>6181</v>
      </c>
      <c r="L169" s="500">
        <v>4861</v>
      </c>
      <c r="M169" s="500">
        <v>3752</v>
      </c>
      <c r="N169" s="500">
        <v>2464</v>
      </c>
      <c r="O169" s="500">
        <v>1888</v>
      </c>
      <c r="P169" s="501">
        <f t="shared" si="294"/>
        <v>0.50689158609339646</v>
      </c>
      <c r="Q169" s="502">
        <f t="shared" si="295"/>
        <v>0.65671641791044777</v>
      </c>
      <c r="R169" s="499">
        <v>6042</v>
      </c>
      <c r="S169" s="500">
        <v>4809</v>
      </c>
      <c r="T169" s="500">
        <v>4081</v>
      </c>
      <c r="U169" s="500">
        <v>2782</v>
      </c>
      <c r="V169" s="500">
        <v>2073</v>
      </c>
      <c r="W169" s="501">
        <f t="shared" si="248"/>
        <v>0.57849864836764398</v>
      </c>
      <c r="X169" s="502">
        <f t="shared" si="249"/>
        <v>0.6816956628277383</v>
      </c>
      <c r="Y169" s="499">
        <v>6500</v>
      </c>
      <c r="Z169" s="500">
        <v>5157</v>
      </c>
      <c r="AA169" s="500">
        <v>4127</v>
      </c>
      <c r="AB169" s="500">
        <v>2701</v>
      </c>
      <c r="AC169" s="500">
        <v>2086</v>
      </c>
      <c r="AD169" s="501">
        <f t="shared" si="296"/>
        <v>0.52375412061275939</v>
      </c>
      <c r="AE169" s="502">
        <f t="shared" si="297"/>
        <v>0.65447055972861645</v>
      </c>
      <c r="AF169" s="499">
        <v>7194</v>
      </c>
      <c r="AG169" s="500">
        <v>5638</v>
      </c>
      <c r="AH169" s="500">
        <v>4281</v>
      </c>
      <c r="AI169" s="500">
        <v>2674</v>
      </c>
      <c r="AJ169" s="500">
        <v>2152</v>
      </c>
      <c r="AK169" s="501">
        <f t="shared" si="298"/>
        <v>0.47428166016317841</v>
      </c>
      <c r="AL169" s="502">
        <f t="shared" si="299"/>
        <v>0.62462041579070315</v>
      </c>
      <c r="AM169" s="499">
        <v>5998</v>
      </c>
      <c r="AN169" s="500">
        <v>4847</v>
      </c>
      <c r="AO169" s="500">
        <v>3635</v>
      </c>
      <c r="AP169" s="500">
        <v>2278</v>
      </c>
      <c r="AQ169" s="500">
        <v>1672</v>
      </c>
      <c r="AR169" s="501">
        <f t="shared" si="300"/>
        <v>0.46998143181349289</v>
      </c>
      <c r="AS169" s="502">
        <f t="shared" si="301"/>
        <v>0.62668500687757911</v>
      </c>
      <c r="AT169" s="499">
        <v>5349</v>
      </c>
      <c r="AU169" s="500">
        <v>4296</v>
      </c>
      <c r="AV169" s="500">
        <v>3079</v>
      </c>
      <c r="AW169" s="500">
        <v>2166</v>
      </c>
      <c r="AX169" s="500">
        <v>1712</v>
      </c>
      <c r="AY169" s="501">
        <f t="shared" si="302"/>
        <v>0.50418994413407825</v>
      </c>
      <c r="AZ169" s="502">
        <f t="shared" si="303"/>
        <v>0.70347515427086715</v>
      </c>
      <c r="BA169" s="499">
        <v>4517</v>
      </c>
      <c r="BB169" s="500">
        <v>3626</v>
      </c>
      <c r="BC169" s="500">
        <v>2625</v>
      </c>
      <c r="BD169" s="500">
        <v>2166</v>
      </c>
      <c r="BE169" s="500">
        <v>1611</v>
      </c>
      <c r="BF169" s="501">
        <f t="shared" si="304"/>
        <v>0.5973524544953116</v>
      </c>
      <c r="BG169" s="502">
        <f t="shared" si="305"/>
        <v>0.82514285714285718</v>
      </c>
      <c r="BH169" s="499">
        <v>3936</v>
      </c>
      <c r="BI169" s="500">
        <v>3186</v>
      </c>
      <c r="BJ169" s="500">
        <v>3186</v>
      </c>
      <c r="BK169" s="500">
        <v>2199</v>
      </c>
      <c r="BL169" s="500">
        <v>1677</v>
      </c>
      <c r="BM169" s="501">
        <f t="shared" si="306"/>
        <v>0.69020715630885121</v>
      </c>
      <c r="BN169" s="502">
        <f t="shared" si="307"/>
        <v>0.69020715630885121</v>
      </c>
      <c r="BO169" s="499">
        <v>3566</v>
      </c>
      <c r="BP169" s="500">
        <v>2901</v>
      </c>
      <c r="BQ169" s="500">
        <v>2240</v>
      </c>
      <c r="BR169" s="500">
        <v>2212</v>
      </c>
      <c r="BS169" s="500">
        <v>1599</v>
      </c>
      <c r="BT169" s="501">
        <f t="shared" si="308"/>
        <v>0.76249569114098592</v>
      </c>
      <c r="BU169" s="502">
        <f t="shared" si="309"/>
        <v>0.98750000000000004</v>
      </c>
      <c r="BV169" s="499">
        <v>3416</v>
      </c>
      <c r="BW169" s="500">
        <v>2788</v>
      </c>
      <c r="BX169" s="500">
        <v>2214</v>
      </c>
      <c r="BY169" s="500">
        <v>2185</v>
      </c>
      <c r="BZ169" s="500">
        <v>1610</v>
      </c>
      <c r="CA169" s="501">
        <f t="shared" si="310"/>
        <v>0.78371592539454804</v>
      </c>
      <c r="CB169" s="502">
        <f t="shared" si="311"/>
        <v>0.98690153568202343</v>
      </c>
      <c r="CC169" s="499">
        <v>3179</v>
      </c>
      <c r="CD169" s="500">
        <v>2554</v>
      </c>
      <c r="CE169" s="500">
        <v>2528</v>
      </c>
      <c r="CF169" s="500">
        <v>2485</v>
      </c>
      <c r="CG169" s="500">
        <v>1776</v>
      </c>
      <c r="CH169" s="501">
        <f t="shared" si="312"/>
        <v>0.97298355520751767</v>
      </c>
      <c r="CI169" s="502">
        <f t="shared" si="313"/>
        <v>0.98299050632911389</v>
      </c>
      <c r="CJ169" s="499">
        <v>2937</v>
      </c>
      <c r="CK169" s="500">
        <v>2400</v>
      </c>
      <c r="CL169" s="500">
        <v>2308</v>
      </c>
      <c r="CM169" s="500">
        <v>2277</v>
      </c>
      <c r="CN169" s="500">
        <v>1524</v>
      </c>
      <c r="CO169" s="501">
        <f t="shared" si="314"/>
        <v>0.94874999999999998</v>
      </c>
      <c r="CP169" s="501">
        <f t="shared" si="315"/>
        <v>0.9865684575389948</v>
      </c>
      <c r="CQ169" s="501">
        <v>0.94874999999999998</v>
      </c>
      <c r="CR169" s="502">
        <v>0.9865684575389948</v>
      </c>
      <c r="CS169" s="499">
        <v>3222</v>
      </c>
      <c r="CT169" s="500">
        <v>2626</v>
      </c>
      <c r="CU169" s="500">
        <v>2155</v>
      </c>
      <c r="CV169" s="500">
        <v>1949</v>
      </c>
      <c r="CW169" s="500">
        <v>1451</v>
      </c>
      <c r="CX169" s="501">
        <f t="shared" si="316"/>
        <v>0.7421934501142422</v>
      </c>
      <c r="CY169" s="501">
        <f t="shared" si="317"/>
        <v>0.90440835266821351</v>
      </c>
      <c r="CZ169" s="501">
        <v>0.7421934501142422</v>
      </c>
      <c r="DA169" s="502">
        <v>0.90440835266821351</v>
      </c>
      <c r="DB169" s="499">
        <v>3586</v>
      </c>
      <c r="DC169" s="500">
        <v>2888</v>
      </c>
      <c r="DD169" s="500">
        <v>2432</v>
      </c>
      <c r="DE169" s="500">
        <v>2146</v>
      </c>
      <c r="DF169" s="500">
        <v>1582</v>
      </c>
      <c r="DG169" s="501">
        <f t="shared" si="318"/>
        <v>0.74307479224376727</v>
      </c>
      <c r="DH169" s="501">
        <f t="shared" si="319"/>
        <v>0.88240131578947367</v>
      </c>
      <c r="DI169" s="501">
        <v>0.74342105263157898</v>
      </c>
      <c r="DJ169" s="502">
        <v>0.8828125</v>
      </c>
      <c r="DK169" s="499">
        <v>3846</v>
      </c>
      <c r="DL169" s="500">
        <v>3093</v>
      </c>
      <c r="DM169" s="500">
        <v>2558</v>
      </c>
      <c r="DN169" s="500">
        <v>2329</v>
      </c>
      <c r="DO169" s="500">
        <v>1766</v>
      </c>
      <c r="DP169" s="501">
        <f t="shared" si="320"/>
        <v>0.75299062398965411</v>
      </c>
      <c r="DQ169" s="501">
        <f t="shared" si="321"/>
        <v>0.91047693510555117</v>
      </c>
      <c r="DR169" s="501">
        <v>0.75299062398965411</v>
      </c>
      <c r="DS169" s="502">
        <v>0.91047693510555117</v>
      </c>
      <c r="DT169" s="499">
        <v>4974</v>
      </c>
      <c r="DU169" s="500">
        <v>3960</v>
      </c>
      <c r="DV169" s="500">
        <v>3309</v>
      </c>
      <c r="DW169" s="500">
        <v>2819</v>
      </c>
      <c r="DX169" s="500">
        <v>2110</v>
      </c>
      <c r="DY169" s="501">
        <f t="shared" si="322"/>
        <v>0.71186868686868687</v>
      </c>
      <c r="DZ169" s="501">
        <f t="shared" si="323"/>
        <v>0.85191900876397708</v>
      </c>
      <c r="EA169" s="501">
        <v>0.71414141414141419</v>
      </c>
      <c r="EB169" s="502">
        <v>0.85463886370504683</v>
      </c>
    </row>
    <row r="170" spans="1:132" s="2" customFormat="1" x14ac:dyDescent="0.25">
      <c r="A170" s="503" t="s">
        <v>418</v>
      </c>
      <c r="B170" s="504" t="s">
        <v>422</v>
      </c>
      <c r="C170" s="505" t="s">
        <v>423</v>
      </c>
      <c r="D170" s="506">
        <v>2616</v>
      </c>
      <c r="E170" s="507">
        <v>2034</v>
      </c>
      <c r="F170" s="507">
        <v>1782</v>
      </c>
      <c r="G170" s="507">
        <v>1497</v>
      </c>
      <c r="H170" s="507">
        <v>1257</v>
      </c>
      <c r="I170" s="508">
        <f t="shared" si="250"/>
        <v>0.7359882005899705</v>
      </c>
      <c r="J170" s="509">
        <f t="shared" si="251"/>
        <v>0.84006734006734007</v>
      </c>
      <c r="K170" s="506">
        <v>3372</v>
      </c>
      <c r="L170" s="507">
        <v>2576</v>
      </c>
      <c r="M170" s="507">
        <v>2136</v>
      </c>
      <c r="N170" s="507">
        <v>1556</v>
      </c>
      <c r="O170" s="507">
        <v>1317</v>
      </c>
      <c r="P170" s="508">
        <f t="shared" si="294"/>
        <v>0.60403726708074534</v>
      </c>
      <c r="Q170" s="509">
        <f t="shared" si="295"/>
        <v>0.72846441947565543</v>
      </c>
      <c r="R170" s="506">
        <v>3273</v>
      </c>
      <c r="S170" s="507">
        <v>2428</v>
      </c>
      <c r="T170" s="507">
        <v>1986</v>
      </c>
      <c r="U170" s="507">
        <v>1485</v>
      </c>
      <c r="V170" s="507">
        <v>1248</v>
      </c>
      <c r="W170" s="508">
        <f t="shared" si="248"/>
        <v>0.61161449752883035</v>
      </c>
      <c r="X170" s="509">
        <f t="shared" si="249"/>
        <v>0.74773413897280971</v>
      </c>
      <c r="Y170" s="506">
        <v>3088</v>
      </c>
      <c r="Z170" s="507">
        <v>2367</v>
      </c>
      <c r="AA170" s="507">
        <v>1878</v>
      </c>
      <c r="AB170" s="507">
        <v>1555</v>
      </c>
      <c r="AC170" s="507">
        <v>1284</v>
      </c>
      <c r="AD170" s="508">
        <f t="shared" si="296"/>
        <v>0.65694972539079</v>
      </c>
      <c r="AE170" s="509">
        <f t="shared" si="297"/>
        <v>0.82800851970181044</v>
      </c>
      <c r="AF170" s="506">
        <v>2964</v>
      </c>
      <c r="AG170" s="507">
        <v>2339</v>
      </c>
      <c r="AH170" s="507">
        <v>1772</v>
      </c>
      <c r="AI170" s="507">
        <v>1465</v>
      </c>
      <c r="AJ170" s="507">
        <v>1205</v>
      </c>
      <c r="AK170" s="508">
        <f t="shared" si="298"/>
        <v>0.62633604104318086</v>
      </c>
      <c r="AL170" s="509">
        <f t="shared" si="299"/>
        <v>0.82674943566591419</v>
      </c>
      <c r="AM170" s="506">
        <v>3089</v>
      </c>
      <c r="AN170" s="507">
        <v>2391</v>
      </c>
      <c r="AO170" s="507">
        <v>1892</v>
      </c>
      <c r="AP170" s="507">
        <v>1498</v>
      </c>
      <c r="AQ170" s="507">
        <v>1222</v>
      </c>
      <c r="AR170" s="508">
        <f t="shared" si="300"/>
        <v>0.62651610204935171</v>
      </c>
      <c r="AS170" s="509">
        <f t="shared" si="301"/>
        <v>0.79175475687103591</v>
      </c>
      <c r="AT170" s="506">
        <v>2981</v>
      </c>
      <c r="AU170" s="507">
        <v>2327</v>
      </c>
      <c r="AV170" s="507">
        <v>1803</v>
      </c>
      <c r="AW170" s="507">
        <v>1429</v>
      </c>
      <c r="AX170" s="507">
        <v>1139</v>
      </c>
      <c r="AY170" s="508">
        <f t="shared" si="302"/>
        <v>0.61409540180489897</v>
      </c>
      <c r="AZ170" s="509">
        <f t="shared" si="303"/>
        <v>0.79256794231835825</v>
      </c>
      <c r="BA170" s="506">
        <v>2724</v>
      </c>
      <c r="BB170" s="507">
        <v>2136</v>
      </c>
      <c r="BC170" s="507">
        <v>1651</v>
      </c>
      <c r="BD170" s="507">
        <v>1478</v>
      </c>
      <c r="BE170" s="507">
        <v>1142</v>
      </c>
      <c r="BF170" s="508">
        <f t="shared" si="304"/>
        <v>0.69194756554307113</v>
      </c>
      <c r="BG170" s="509">
        <f t="shared" si="305"/>
        <v>0.89521502119927321</v>
      </c>
      <c r="BH170" s="506">
        <v>3282</v>
      </c>
      <c r="BI170" s="507">
        <v>2561</v>
      </c>
      <c r="BJ170" s="507">
        <v>2364</v>
      </c>
      <c r="BK170" s="507">
        <v>2283</v>
      </c>
      <c r="BL170" s="507">
        <v>1439</v>
      </c>
      <c r="BM170" s="508">
        <f t="shared" si="306"/>
        <v>0.89144865286997266</v>
      </c>
      <c r="BN170" s="509">
        <f t="shared" si="307"/>
        <v>0.96573604060913709</v>
      </c>
      <c r="BO170" s="506">
        <v>3080</v>
      </c>
      <c r="BP170" s="507">
        <v>2469</v>
      </c>
      <c r="BQ170" s="507">
        <v>2256</v>
      </c>
      <c r="BR170" s="507">
        <v>2129</v>
      </c>
      <c r="BS170" s="507">
        <v>1290</v>
      </c>
      <c r="BT170" s="508">
        <f t="shared" si="308"/>
        <v>0.86229242608343459</v>
      </c>
      <c r="BU170" s="509">
        <f t="shared" si="309"/>
        <v>0.94370567375886527</v>
      </c>
      <c r="BV170" s="506">
        <v>3616</v>
      </c>
      <c r="BW170" s="507">
        <v>2883</v>
      </c>
      <c r="BX170" s="507">
        <v>2664</v>
      </c>
      <c r="BY170" s="507">
        <v>2555</v>
      </c>
      <c r="BZ170" s="507">
        <v>1520</v>
      </c>
      <c r="CA170" s="508">
        <f t="shared" si="310"/>
        <v>0.88622962192160948</v>
      </c>
      <c r="CB170" s="509">
        <f t="shared" si="311"/>
        <v>0.95908408408408408</v>
      </c>
      <c r="CC170" s="506">
        <v>3563</v>
      </c>
      <c r="CD170" s="507">
        <v>2897</v>
      </c>
      <c r="CE170" s="507">
        <v>2872</v>
      </c>
      <c r="CF170" s="507">
        <v>1835</v>
      </c>
      <c r="CG170" s="507">
        <v>1828</v>
      </c>
      <c r="CH170" s="508">
        <f t="shared" si="312"/>
        <v>0.6334138764238868</v>
      </c>
      <c r="CI170" s="509">
        <f t="shared" si="313"/>
        <v>0.63892757660167132</v>
      </c>
      <c r="CJ170" s="506">
        <v>3762</v>
      </c>
      <c r="CK170" s="507">
        <v>2869</v>
      </c>
      <c r="CL170" s="507">
        <v>2677</v>
      </c>
      <c r="CM170" s="507">
        <v>1497</v>
      </c>
      <c r="CN170" s="507">
        <v>1492</v>
      </c>
      <c r="CO170" s="508">
        <f t="shared" si="314"/>
        <v>0.52178459393516907</v>
      </c>
      <c r="CP170" s="508">
        <f t="shared" si="315"/>
        <v>0.55920806873365703</v>
      </c>
      <c r="CQ170" s="508">
        <v>0.82328337399790863</v>
      </c>
      <c r="CR170" s="509">
        <v>0.88233096750093387</v>
      </c>
      <c r="CS170" s="506">
        <v>3636</v>
      </c>
      <c r="CT170" s="507">
        <v>2773</v>
      </c>
      <c r="CU170" s="507">
        <v>2540</v>
      </c>
      <c r="CV170" s="507">
        <v>1430</v>
      </c>
      <c r="CW170" s="507">
        <v>1429</v>
      </c>
      <c r="CX170" s="508">
        <f t="shared" si="316"/>
        <v>0.51568698160836635</v>
      </c>
      <c r="CY170" s="508">
        <f t="shared" si="317"/>
        <v>0.56299212598425197</v>
      </c>
      <c r="CZ170" s="508">
        <v>0.79047962495492252</v>
      </c>
      <c r="DA170" s="509">
        <v>0.86299212598425201</v>
      </c>
      <c r="DB170" s="506">
        <v>2837</v>
      </c>
      <c r="DC170" s="507">
        <v>2165</v>
      </c>
      <c r="DD170" s="507">
        <v>1794</v>
      </c>
      <c r="DE170" s="507">
        <v>1225</v>
      </c>
      <c r="DF170" s="507">
        <v>1223</v>
      </c>
      <c r="DG170" s="508">
        <f t="shared" si="318"/>
        <v>0.56581986143187069</v>
      </c>
      <c r="DH170" s="508">
        <f t="shared" si="319"/>
        <v>0.68283166109253068</v>
      </c>
      <c r="DI170" s="508">
        <v>0.75612009237875288</v>
      </c>
      <c r="DJ170" s="509">
        <v>0.91248606465997772</v>
      </c>
      <c r="DK170" s="506">
        <v>3018</v>
      </c>
      <c r="DL170" s="507">
        <v>2303</v>
      </c>
      <c r="DM170" s="507">
        <v>1938</v>
      </c>
      <c r="DN170" s="507">
        <v>1260</v>
      </c>
      <c r="DO170" s="507">
        <v>1255</v>
      </c>
      <c r="DP170" s="508">
        <f t="shared" si="320"/>
        <v>0.54711246200607899</v>
      </c>
      <c r="DQ170" s="508">
        <f t="shared" si="321"/>
        <v>0.65015479876160986</v>
      </c>
      <c r="DR170" s="508">
        <v>0.72297003907946156</v>
      </c>
      <c r="DS170" s="509">
        <v>0.85913312693498456</v>
      </c>
      <c r="DT170" s="506">
        <v>3447</v>
      </c>
      <c r="DU170" s="507">
        <v>2507</v>
      </c>
      <c r="DV170" s="507">
        <v>2060</v>
      </c>
      <c r="DW170" s="507">
        <v>1354</v>
      </c>
      <c r="DX170" s="507">
        <v>1352</v>
      </c>
      <c r="DY170" s="508">
        <f t="shared" si="322"/>
        <v>0.5400877542879936</v>
      </c>
      <c r="DZ170" s="508">
        <f t="shared" si="323"/>
        <v>0.65728155339805827</v>
      </c>
      <c r="EA170" s="508">
        <v>0.71400079776625447</v>
      </c>
      <c r="EB170" s="509">
        <v>0.8689320388349514</v>
      </c>
    </row>
    <row r="171" spans="1:132" s="2" customFormat="1" x14ac:dyDescent="0.25">
      <c r="A171" s="503" t="s">
        <v>418</v>
      </c>
      <c r="B171" s="504" t="s">
        <v>424</v>
      </c>
      <c r="C171" s="505" t="s">
        <v>425</v>
      </c>
      <c r="D171" s="506">
        <v>1258</v>
      </c>
      <c r="E171" s="507">
        <v>1193</v>
      </c>
      <c r="F171" s="507">
        <v>923</v>
      </c>
      <c r="G171" s="507">
        <v>798</v>
      </c>
      <c r="H171" s="507">
        <v>640</v>
      </c>
      <c r="I171" s="508">
        <f t="shared" si="250"/>
        <v>0.66890192791282477</v>
      </c>
      <c r="J171" s="509">
        <f t="shared" si="251"/>
        <v>0.86457204767063922</v>
      </c>
      <c r="K171" s="506">
        <v>1193</v>
      </c>
      <c r="L171" s="507">
        <v>1137</v>
      </c>
      <c r="M171" s="507">
        <v>852</v>
      </c>
      <c r="N171" s="507">
        <v>735</v>
      </c>
      <c r="O171" s="507">
        <v>601</v>
      </c>
      <c r="P171" s="508">
        <f t="shared" si="294"/>
        <v>0.64643799472295516</v>
      </c>
      <c r="Q171" s="509">
        <f t="shared" si="295"/>
        <v>0.86267605633802813</v>
      </c>
      <c r="R171" s="506">
        <v>1157</v>
      </c>
      <c r="S171" s="507">
        <v>1100</v>
      </c>
      <c r="T171" s="507">
        <v>907</v>
      </c>
      <c r="U171" s="507">
        <v>796</v>
      </c>
      <c r="V171" s="507">
        <v>650</v>
      </c>
      <c r="W171" s="508">
        <f t="shared" si="248"/>
        <v>0.72363636363636363</v>
      </c>
      <c r="X171" s="509">
        <f t="shared" si="249"/>
        <v>0.87761852260198459</v>
      </c>
      <c r="Y171" s="506">
        <v>1935</v>
      </c>
      <c r="Z171" s="507">
        <v>1829</v>
      </c>
      <c r="AA171" s="507">
        <v>1689</v>
      </c>
      <c r="AB171" s="507">
        <v>1488</v>
      </c>
      <c r="AC171" s="507">
        <v>1056</v>
      </c>
      <c r="AD171" s="508">
        <f t="shared" si="296"/>
        <v>0.81355932203389836</v>
      </c>
      <c r="AE171" s="509">
        <f t="shared" si="297"/>
        <v>0.8809946714031972</v>
      </c>
      <c r="AF171" s="506">
        <v>2004</v>
      </c>
      <c r="AG171" s="507">
        <v>1897</v>
      </c>
      <c r="AH171" s="507">
        <v>1704</v>
      </c>
      <c r="AI171" s="507">
        <v>1427</v>
      </c>
      <c r="AJ171" s="507">
        <v>1006</v>
      </c>
      <c r="AK171" s="508">
        <f t="shared" si="298"/>
        <v>0.75224037954665257</v>
      </c>
      <c r="AL171" s="509">
        <f t="shared" si="299"/>
        <v>0.83744131455399062</v>
      </c>
      <c r="AM171" s="506">
        <v>1816</v>
      </c>
      <c r="AN171" s="507">
        <v>1687</v>
      </c>
      <c r="AO171" s="507">
        <v>1327</v>
      </c>
      <c r="AP171" s="507">
        <v>1143</v>
      </c>
      <c r="AQ171" s="507">
        <v>832</v>
      </c>
      <c r="AR171" s="508">
        <f t="shared" si="300"/>
        <v>0.67753408417308836</v>
      </c>
      <c r="AS171" s="509">
        <f t="shared" si="301"/>
        <v>0.86134137151469481</v>
      </c>
      <c r="AT171" s="506">
        <v>1611</v>
      </c>
      <c r="AU171" s="507">
        <v>1477</v>
      </c>
      <c r="AV171" s="507">
        <v>1122</v>
      </c>
      <c r="AW171" s="507">
        <v>1006</v>
      </c>
      <c r="AX171" s="507">
        <v>730</v>
      </c>
      <c r="AY171" s="508">
        <f t="shared" si="302"/>
        <v>0.68111035883547733</v>
      </c>
      <c r="AZ171" s="509">
        <f t="shared" si="303"/>
        <v>0.89661319073083778</v>
      </c>
      <c r="BA171" s="506">
        <v>1357</v>
      </c>
      <c r="BB171" s="507">
        <v>1204</v>
      </c>
      <c r="BC171" s="507">
        <v>965</v>
      </c>
      <c r="BD171" s="507">
        <v>839</v>
      </c>
      <c r="BE171" s="507">
        <v>617</v>
      </c>
      <c r="BF171" s="508">
        <f t="shared" si="304"/>
        <v>0.69684385382059799</v>
      </c>
      <c r="BG171" s="509">
        <f t="shared" si="305"/>
        <v>0.86943005181347155</v>
      </c>
      <c r="BH171" s="506">
        <v>1074</v>
      </c>
      <c r="BI171" s="507">
        <v>951</v>
      </c>
      <c r="BJ171" s="507">
        <v>631</v>
      </c>
      <c r="BK171" s="507">
        <v>624</v>
      </c>
      <c r="BL171" s="507">
        <v>591</v>
      </c>
      <c r="BM171" s="508">
        <f t="shared" si="306"/>
        <v>0.65615141955835965</v>
      </c>
      <c r="BN171" s="509">
        <f t="shared" si="307"/>
        <v>0.9889064976228209</v>
      </c>
      <c r="BO171" s="506">
        <v>1038</v>
      </c>
      <c r="BP171" s="507">
        <v>935</v>
      </c>
      <c r="BQ171" s="507">
        <v>680</v>
      </c>
      <c r="BR171" s="507">
        <v>653</v>
      </c>
      <c r="BS171" s="507">
        <v>646</v>
      </c>
      <c r="BT171" s="508">
        <f t="shared" si="308"/>
        <v>0.69839572192513366</v>
      </c>
      <c r="BU171" s="509">
        <f t="shared" si="309"/>
        <v>0.96029411764705885</v>
      </c>
      <c r="BV171" s="506">
        <v>1042</v>
      </c>
      <c r="BW171" s="507">
        <v>805</v>
      </c>
      <c r="BX171" s="507">
        <v>625</v>
      </c>
      <c r="BY171" s="507">
        <v>591</v>
      </c>
      <c r="BZ171" s="507">
        <v>590</v>
      </c>
      <c r="CA171" s="508">
        <f t="shared" si="310"/>
        <v>0.73416149068322978</v>
      </c>
      <c r="CB171" s="509">
        <f t="shared" si="311"/>
        <v>0.9456</v>
      </c>
      <c r="CC171" s="506">
        <v>874</v>
      </c>
      <c r="CD171" s="507">
        <v>793</v>
      </c>
      <c r="CE171" s="507">
        <v>792</v>
      </c>
      <c r="CF171" s="507">
        <v>581</v>
      </c>
      <c r="CG171" s="507">
        <v>564</v>
      </c>
      <c r="CH171" s="508">
        <f t="shared" si="312"/>
        <v>0.73266078184110972</v>
      </c>
      <c r="CI171" s="509">
        <f t="shared" si="313"/>
        <v>0.73358585858585856</v>
      </c>
      <c r="CJ171" s="506">
        <v>845</v>
      </c>
      <c r="CK171" s="507">
        <v>779</v>
      </c>
      <c r="CL171" s="507">
        <v>566</v>
      </c>
      <c r="CM171" s="507">
        <v>562</v>
      </c>
      <c r="CN171" s="507">
        <v>514</v>
      </c>
      <c r="CO171" s="508">
        <f t="shared" si="314"/>
        <v>0.72143774069319644</v>
      </c>
      <c r="CP171" s="508">
        <f t="shared" si="315"/>
        <v>0.99293286219081267</v>
      </c>
      <c r="CQ171" s="508">
        <v>0.72657252888318358</v>
      </c>
      <c r="CR171" s="509">
        <v>1</v>
      </c>
      <c r="CS171" s="506">
        <v>847</v>
      </c>
      <c r="CT171" s="507">
        <v>774</v>
      </c>
      <c r="CU171" s="507">
        <v>614</v>
      </c>
      <c r="CV171" s="507">
        <v>584</v>
      </c>
      <c r="CW171" s="507">
        <v>549</v>
      </c>
      <c r="CX171" s="508">
        <f t="shared" si="316"/>
        <v>0.75452196382428938</v>
      </c>
      <c r="CY171" s="508">
        <f t="shared" si="317"/>
        <v>0.95114006514657978</v>
      </c>
      <c r="CZ171" s="508">
        <v>0.79069767441860461</v>
      </c>
      <c r="DA171" s="509">
        <v>0.99674267100977199</v>
      </c>
      <c r="DB171" s="506">
        <v>864</v>
      </c>
      <c r="DC171" s="507">
        <v>791</v>
      </c>
      <c r="DD171" s="507">
        <v>649</v>
      </c>
      <c r="DE171" s="507">
        <v>647</v>
      </c>
      <c r="DF171" s="507">
        <v>605</v>
      </c>
      <c r="DG171" s="508">
        <f t="shared" si="318"/>
        <v>0.81795195954487987</v>
      </c>
      <c r="DH171" s="508">
        <f t="shared" si="319"/>
        <v>0.99691833590138679</v>
      </c>
      <c r="DI171" s="508">
        <v>0.82048040455120097</v>
      </c>
      <c r="DJ171" s="509">
        <v>1</v>
      </c>
      <c r="DK171" s="506">
        <v>926</v>
      </c>
      <c r="DL171" s="507">
        <v>831</v>
      </c>
      <c r="DM171" s="507">
        <v>618</v>
      </c>
      <c r="DN171" s="507">
        <v>582</v>
      </c>
      <c r="DO171" s="507">
        <v>552</v>
      </c>
      <c r="DP171" s="508">
        <f t="shared" si="320"/>
        <v>0.70036101083032487</v>
      </c>
      <c r="DQ171" s="508">
        <f t="shared" si="321"/>
        <v>0.94174757281553401</v>
      </c>
      <c r="DR171" s="508">
        <v>0.74007220216606495</v>
      </c>
      <c r="DS171" s="509">
        <v>0.99514563106796117</v>
      </c>
      <c r="DT171" s="506">
        <v>1125</v>
      </c>
      <c r="DU171" s="507">
        <v>983</v>
      </c>
      <c r="DV171" s="507">
        <v>761</v>
      </c>
      <c r="DW171" s="507">
        <v>697</v>
      </c>
      <c r="DX171" s="507">
        <v>636</v>
      </c>
      <c r="DY171" s="508">
        <f t="shared" si="322"/>
        <v>0.70905391658189221</v>
      </c>
      <c r="DZ171" s="508">
        <f t="shared" si="323"/>
        <v>0.91590013140604465</v>
      </c>
      <c r="EA171" s="508">
        <v>0.70905391658189221</v>
      </c>
      <c r="EB171" s="509">
        <v>0.91590013140604465</v>
      </c>
    </row>
    <row r="172" spans="1:132" s="2" customFormat="1" x14ac:dyDescent="0.25">
      <c r="A172" s="503" t="s">
        <v>418</v>
      </c>
      <c r="B172" s="504">
        <v>41320</v>
      </c>
      <c r="C172" s="505" t="s">
        <v>426</v>
      </c>
      <c r="D172" s="506">
        <v>1029</v>
      </c>
      <c r="E172" s="507">
        <v>986</v>
      </c>
      <c r="F172" s="507">
        <v>953</v>
      </c>
      <c r="G172" s="507">
        <v>953</v>
      </c>
      <c r="H172" s="507">
        <v>752</v>
      </c>
      <c r="I172" s="508">
        <f t="shared" si="250"/>
        <v>0.96653144016227177</v>
      </c>
      <c r="J172" s="509">
        <f t="shared" si="251"/>
        <v>1</v>
      </c>
      <c r="K172" s="506">
        <v>1217</v>
      </c>
      <c r="L172" s="507">
        <v>1124</v>
      </c>
      <c r="M172" s="507">
        <v>914</v>
      </c>
      <c r="N172" s="507">
        <v>914</v>
      </c>
      <c r="O172" s="507">
        <v>913</v>
      </c>
      <c r="P172" s="508">
        <f t="shared" si="294"/>
        <v>0.81316725978647686</v>
      </c>
      <c r="Q172" s="509">
        <f t="shared" si="295"/>
        <v>1</v>
      </c>
      <c r="R172" s="506">
        <v>1123</v>
      </c>
      <c r="S172" s="507">
        <v>1033</v>
      </c>
      <c r="T172" s="507">
        <v>822</v>
      </c>
      <c r="U172" s="507">
        <v>797</v>
      </c>
      <c r="V172" s="507">
        <v>689</v>
      </c>
      <c r="W172" s="508">
        <f t="shared" si="248"/>
        <v>0.77153920619554694</v>
      </c>
      <c r="X172" s="509">
        <f t="shared" si="249"/>
        <v>0.96958637469586373</v>
      </c>
      <c r="Y172" s="506">
        <v>1867</v>
      </c>
      <c r="Z172" s="507">
        <v>1770</v>
      </c>
      <c r="AA172" s="507">
        <v>1325</v>
      </c>
      <c r="AB172" s="507">
        <v>1324</v>
      </c>
      <c r="AC172" s="507">
        <v>1323</v>
      </c>
      <c r="AD172" s="508">
        <f t="shared" si="296"/>
        <v>0.74802259887005651</v>
      </c>
      <c r="AE172" s="509">
        <f t="shared" si="297"/>
        <v>0.99924528301886795</v>
      </c>
      <c r="AF172" s="506">
        <v>1618</v>
      </c>
      <c r="AG172" s="507">
        <v>1549</v>
      </c>
      <c r="AH172" s="507">
        <v>1181</v>
      </c>
      <c r="AI172" s="507">
        <v>1041</v>
      </c>
      <c r="AJ172" s="507">
        <v>691</v>
      </c>
      <c r="AK172" s="508">
        <f t="shared" si="298"/>
        <v>0.67204648160103297</v>
      </c>
      <c r="AL172" s="509">
        <f t="shared" si="299"/>
        <v>0.88145639288738353</v>
      </c>
      <c r="AM172" s="506">
        <v>1296</v>
      </c>
      <c r="AN172" s="507">
        <v>1191</v>
      </c>
      <c r="AO172" s="507">
        <v>933</v>
      </c>
      <c r="AP172" s="507">
        <v>772</v>
      </c>
      <c r="AQ172" s="507">
        <v>563</v>
      </c>
      <c r="AR172" s="508">
        <f t="shared" si="300"/>
        <v>0.64819479429051219</v>
      </c>
      <c r="AS172" s="509">
        <f t="shared" si="301"/>
        <v>0.827438370846731</v>
      </c>
      <c r="AT172" s="506">
        <v>1331</v>
      </c>
      <c r="AU172" s="507">
        <v>1172</v>
      </c>
      <c r="AV172" s="507">
        <v>913</v>
      </c>
      <c r="AW172" s="507">
        <v>827</v>
      </c>
      <c r="AX172" s="507">
        <v>594</v>
      </c>
      <c r="AY172" s="508">
        <f t="shared" si="302"/>
        <v>0.70563139931740615</v>
      </c>
      <c r="AZ172" s="509">
        <f t="shared" si="303"/>
        <v>0.9058050383351588</v>
      </c>
      <c r="BA172" s="506">
        <v>1136</v>
      </c>
      <c r="BB172" s="507">
        <v>1027</v>
      </c>
      <c r="BC172" s="507">
        <v>874</v>
      </c>
      <c r="BD172" s="507">
        <v>854</v>
      </c>
      <c r="BE172" s="507">
        <v>632</v>
      </c>
      <c r="BF172" s="508">
        <f t="shared" si="304"/>
        <v>0.83154819863680618</v>
      </c>
      <c r="BG172" s="509">
        <f t="shared" si="305"/>
        <v>0.97711670480549195</v>
      </c>
      <c r="BH172" s="506">
        <v>1282</v>
      </c>
      <c r="BI172" s="507">
        <v>1182</v>
      </c>
      <c r="BJ172" s="507">
        <v>1105</v>
      </c>
      <c r="BK172" s="507">
        <v>687</v>
      </c>
      <c r="BL172" s="507">
        <v>672</v>
      </c>
      <c r="BM172" s="508">
        <f t="shared" si="306"/>
        <v>0.58121827411167515</v>
      </c>
      <c r="BN172" s="509">
        <f t="shared" si="307"/>
        <v>0.62171945701357467</v>
      </c>
      <c r="BO172" s="506">
        <v>1151</v>
      </c>
      <c r="BP172" s="507">
        <v>1051</v>
      </c>
      <c r="BQ172" s="507">
        <v>1010</v>
      </c>
      <c r="BR172" s="507">
        <v>630</v>
      </c>
      <c r="BS172" s="507">
        <v>630</v>
      </c>
      <c r="BT172" s="508">
        <f t="shared" si="308"/>
        <v>0.5994291151284491</v>
      </c>
      <c r="BU172" s="509">
        <f t="shared" si="309"/>
        <v>0.62376237623762376</v>
      </c>
      <c r="BV172" s="506">
        <v>1196</v>
      </c>
      <c r="BW172" s="507">
        <v>1083</v>
      </c>
      <c r="BX172" s="507">
        <v>1001</v>
      </c>
      <c r="BY172" s="507">
        <v>663</v>
      </c>
      <c r="BZ172" s="507">
        <v>663</v>
      </c>
      <c r="CA172" s="508">
        <f t="shared" si="310"/>
        <v>0.61218836565096957</v>
      </c>
      <c r="CB172" s="509">
        <f t="shared" si="311"/>
        <v>0.66233766233766234</v>
      </c>
      <c r="CC172" s="506">
        <v>1095</v>
      </c>
      <c r="CD172" s="507">
        <v>990</v>
      </c>
      <c r="CE172" s="507">
        <v>988</v>
      </c>
      <c r="CF172" s="507">
        <v>627</v>
      </c>
      <c r="CG172" s="507">
        <v>627</v>
      </c>
      <c r="CH172" s="508">
        <f t="shared" si="312"/>
        <v>0.6333333333333333</v>
      </c>
      <c r="CI172" s="509">
        <f t="shared" si="313"/>
        <v>0.63461538461538458</v>
      </c>
      <c r="CJ172" s="506">
        <v>1219</v>
      </c>
      <c r="CK172" s="507">
        <v>1076</v>
      </c>
      <c r="CL172" s="507">
        <v>980</v>
      </c>
      <c r="CM172" s="507">
        <v>621</v>
      </c>
      <c r="CN172" s="507">
        <v>620</v>
      </c>
      <c r="CO172" s="508">
        <f t="shared" si="314"/>
        <v>0.57713754646840154</v>
      </c>
      <c r="CP172" s="508">
        <f t="shared" si="315"/>
        <v>0.63367346938775515</v>
      </c>
      <c r="CQ172" s="508">
        <v>0.89126394052044611</v>
      </c>
      <c r="CR172" s="509">
        <v>0.97857142857142854</v>
      </c>
      <c r="CS172" s="506">
        <v>1334</v>
      </c>
      <c r="CT172" s="507">
        <v>1180</v>
      </c>
      <c r="CU172" s="507">
        <v>1180</v>
      </c>
      <c r="CV172" s="507">
        <v>671</v>
      </c>
      <c r="CW172" s="507">
        <v>667</v>
      </c>
      <c r="CX172" s="508">
        <f t="shared" si="316"/>
        <v>0.56864406779661014</v>
      </c>
      <c r="CY172" s="508">
        <f t="shared" si="317"/>
        <v>0.56864406779661014</v>
      </c>
      <c r="CZ172" s="508">
        <v>0.96779661016949148</v>
      </c>
      <c r="DA172" s="509">
        <v>0.96779661016949148</v>
      </c>
      <c r="DB172" s="506">
        <v>1663</v>
      </c>
      <c r="DC172" s="507">
        <v>1508</v>
      </c>
      <c r="DD172" s="507">
        <v>1429</v>
      </c>
      <c r="DE172" s="507">
        <v>838</v>
      </c>
      <c r="DF172" s="507">
        <v>838</v>
      </c>
      <c r="DG172" s="508">
        <f t="shared" si="318"/>
        <v>0.5557029177718833</v>
      </c>
      <c r="DH172" s="508">
        <f t="shared" si="319"/>
        <v>0.58642407277816655</v>
      </c>
      <c r="DI172" s="508">
        <v>0.93633952254641906</v>
      </c>
      <c r="DJ172" s="509">
        <v>0.98810356892932116</v>
      </c>
      <c r="DK172" s="506">
        <v>1280</v>
      </c>
      <c r="DL172" s="507">
        <v>1108</v>
      </c>
      <c r="DM172" s="507">
        <v>1005</v>
      </c>
      <c r="DN172" s="507">
        <v>632</v>
      </c>
      <c r="DO172" s="507">
        <v>632</v>
      </c>
      <c r="DP172" s="508">
        <f t="shared" si="320"/>
        <v>0.5703971119133574</v>
      </c>
      <c r="DQ172" s="508">
        <f t="shared" si="321"/>
        <v>0.62885572139303481</v>
      </c>
      <c r="DR172" s="508">
        <v>0.9034296028880866</v>
      </c>
      <c r="DS172" s="509">
        <v>0.99601990049751243</v>
      </c>
      <c r="DT172" s="506">
        <v>1444</v>
      </c>
      <c r="DU172" s="507">
        <v>1223</v>
      </c>
      <c r="DV172" s="507">
        <v>1127</v>
      </c>
      <c r="DW172" s="507">
        <v>695</v>
      </c>
      <c r="DX172" s="507">
        <v>695</v>
      </c>
      <c r="DY172" s="508">
        <f t="shared" si="322"/>
        <v>0.5682747342600164</v>
      </c>
      <c r="DZ172" s="508">
        <f t="shared" si="323"/>
        <v>0.616681455190772</v>
      </c>
      <c r="EA172" s="508">
        <v>0.87408013082583813</v>
      </c>
      <c r="EB172" s="509">
        <v>0.94853593611357589</v>
      </c>
    </row>
    <row r="173" spans="1:132" s="2" customFormat="1" x14ac:dyDescent="0.25">
      <c r="A173" s="503" t="s">
        <v>418</v>
      </c>
      <c r="B173" s="504" t="s">
        <v>427</v>
      </c>
      <c r="C173" s="505" t="s">
        <v>212</v>
      </c>
      <c r="D173" s="506">
        <v>1670</v>
      </c>
      <c r="E173" s="507">
        <v>1581</v>
      </c>
      <c r="F173" s="507">
        <v>1259</v>
      </c>
      <c r="G173" s="507">
        <v>1245</v>
      </c>
      <c r="H173" s="507">
        <v>949</v>
      </c>
      <c r="I173" s="508">
        <f t="shared" si="250"/>
        <v>0.78747628083491461</v>
      </c>
      <c r="J173" s="509">
        <f t="shared" si="251"/>
        <v>0.98888006354249403</v>
      </c>
      <c r="K173" s="506">
        <v>1715</v>
      </c>
      <c r="L173" s="507">
        <v>1599</v>
      </c>
      <c r="M173" s="507">
        <v>1219</v>
      </c>
      <c r="N173" s="507">
        <v>1083</v>
      </c>
      <c r="O173" s="507">
        <v>866</v>
      </c>
      <c r="P173" s="508">
        <f t="shared" si="294"/>
        <v>0.67729831144465291</v>
      </c>
      <c r="Q173" s="509">
        <f t="shared" si="295"/>
        <v>0.88843314191960621</v>
      </c>
      <c r="R173" s="506">
        <v>1832</v>
      </c>
      <c r="S173" s="507">
        <v>1696</v>
      </c>
      <c r="T173" s="507">
        <v>1651</v>
      </c>
      <c r="U173" s="507">
        <v>1438</v>
      </c>
      <c r="V173" s="507">
        <v>1149</v>
      </c>
      <c r="W173" s="508">
        <f t="shared" si="248"/>
        <v>0.847877358490566</v>
      </c>
      <c r="X173" s="509">
        <f t="shared" si="249"/>
        <v>0.8709872804360993</v>
      </c>
      <c r="Y173" s="506">
        <v>1683</v>
      </c>
      <c r="Z173" s="507">
        <v>1532</v>
      </c>
      <c r="AA173" s="507">
        <v>1414</v>
      </c>
      <c r="AB173" s="507">
        <v>1144</v>
      </c>
      <c r="AC173" s="507">
        <v>819</v>
      </c>
      <c r="AD173" s="508">
        <f t="shared" si="296"/>
        <v>0.74673629242819839</v>
      </c>
      <c r="AE173" s="509">
        <f t="shared" si="297"/>
        <v>0.80905233380480901</v>
      </c>
      <c r="AF173" s="506">
        <v>1346</v>
      </c>
      <c r="AG173" s="507">
        <v>1228</v>
      </c>
      <c r="AH173" s="507">
        <v>1102</v>
      </c>
      <c r="AI173" s="507">
        <v>915</v>
      </c>
      <c r="AJ173" s="507">
        <v>762</v>
      </c>
      <c r="AK173" s="508">
        <f t="shared" si="298"/>
        <v>0.74511400651465798</v>
      </c>
      <c r="AL173" s="509">
        <f t="shared" si="299"/>
        <v>0.83030852994555349</v>
      </c>
      <c r="AM173" s="506">
        <v>1790</v>
      </c>
      <c r="AN173" s="507">
        <v>1671</v>
      </c>
      <c r="AO173" s="507">
        <v>1462</v>
      </c>
      <c r="AP173" s="507">
        <v>1169</v>
      </c>
      <c r="AQ173" s="507">
        <v>883</v>
      </c>
      <c r="AR173" s="508">
        <f t="shared" si="300"/>
        <v>0.69958108916816275</v>
      </c>
      <c r="AS173" s="509">
        <f t="shared" si="301"/>
        <v>0.79958960328317374</v>
      </c>
      <c r="AT173" s="506">
        <v>1204</v>
      </c>
      <c r="AU173" s="507">
        <v>1143</v>
      </c>
      <c r="AV173" s="507">
        <v>892</v>
      </c>
      <c r="AW173" s="507">
        <v>836</v>
      </c>
      <c r="AX173" s="507">
        <v>659</v>
      </c>
      <c r="AY173" s="508">
        <f t="shared" si="302"/>
        <v>0.73140857392825898</v>
      </c>
      <c r="AZ173" s="509">
        <f t="shared" si="303"/>
        <v>0.93721973094170408</v>
      </c>
      <c r="BA173" s="506">
        <v>1215</v>
      </c>
      <c r="BB173" s="507">
        <v>1146</v>
      </c>
      <c r="BC173" s="507">
        <v>923</v>
      </c>
      <c r="BD173" s="507">
        <v>849</v>
      </c>
      <c r="BE173" s="507">
        <v>694</v>
      </c>
      <c r="BF173" s="508">
        <f t="shared" si="304"/>
        <v>0.74083769633507857</v>
      </c>
      <c r="BG173" s="509">
        <f t="shared" si="305"/>
        <v>0.91982665222101845</v>
      </c>
      <c r="BH173" s="506">
        <v>1426</v>
      </c>
      <c r="BI173" s="507">
        <v>1342</v>
      </c>
      <c r="BJ173" s="507">
        <v>1342</v>
      </c>
      <c r="BK173" s="507">
        <v>1150</v>
      </c>
      <c r="BL173" s="507">
        <v>1013</v>
      </c>
      <c r="BM173" s="508">
        <f t="shared" si="306"/>
        <v>0.856929955290611</v>
      </c>
      <c r="BN173" s="509">
        <f t="shared" si="307"/>
        <v>0.856929955290611</v>
      </c>
      <c r="BO173" s="506">
        <v>1539</v>
      </c>
      <c r="BP173" s="507">
        <v>1455</v>
      </c>
      <c r="BQ173" s="507">
        <v>1438</v>
      </c>
      <c r="BR173" s="507">
        <v>844</v>
      </c>
      <c r="BS173" s="507">
        <v>844</v>
      </c>
      <c r="BT173" s="508">
        <f t="shared" si="308"/>
        <v>0.58006872852233682</v>
      </c>
      <c r="BU173" s="509">
        <f t="shared" si="309"/>
        <v>0.58692628650904033</v>
      </c>
      <c r="BV173" s="506">
        <v>1568</v>
      </c>
      <c r="BW173" s="507">
        <v>1437</v>
      </c>
      <c r="BX173" s="507">
        <v>1388</v>
      </c>
      <c r="BY173" s="507">
        <v>856</v>
      </c>
      <c r="BZ173" s="507">
        <v>854</v>
      </c>
      <c r="CA173" s="508">
        <f t="shared" si="310"/>
        <v>0.59568545581071675</v>
      </c>
      <c r="CB173" s="509">
        <f t="shared" si="311"/>
        <v>0.61671469740634011</v>
      </c>
      <c r="CC173" s="506">
        <v>1796</v>
      </c>
      <c r="CD173" s="507">
        <v>1663</v>
      </c>
      <c r="CE173" s="507">
        <v>1663</v>
      </c>
      <c r="CF173" s="507">
        <v>1026</v>
      </c>
      <c r="CG173" s="507">
        <v>1022</v>
      </c>
      <c r="CH173" s="508">
        <f t="shared" si="312"/>
        <v>0.61695730607336141</v>
      </c>
      <c r="CI173" s="509">
        <f t="shared" si="313"/>
        <v>0.61695730607336141</v>
      </c>
      <c r="CJ173" s="506">
        <v>1331</v>
      </c>
      <c r="CK173" s="507">
        <v>1214</v>
      </c>
      <c r="CL173" s="507">
        <v>1163</v>
      </c>
      <c r="CM173" s="507">
        <v>717</v>
      </c>
      <c r="CN173" s="507">
        <v>715</v>
      </c>
      <c r="CO173" s="508">
        <f t="shared" si="314"/>
        <v>0.59060955518945635</v>
      </c>
      <c r="CP173" s="508">
        <f t="shared" si="315"/>
        <v>0.61650902837489252</v>
      </c>
      <c r="CQ173" s="508">
        <v>0.92174629324546953</v>
      </c>
      <c r="CR173" s="509">
        <v>0.96216680997420467</v>
      </c>
      <c r="CS173" s="506">
        <v>1323</v>
      </c>
      <c r="CT173" s="507">
        <v>1175</v>
      </c>
      <c r="CU173" s="507">
        <v>1040</v>
      </c>
      <c r="CV173" s="507">
        <v>745</v>
      </c>
      <c r="CW173" s="507">
        <v>740</v>
      </c>
      <c r="CX173" s="508">
        <f t="shared" si="316"/>
        <v>0.63404255319148939</v>
      </c>
      <c r="CY173" s="508">
        <f t="shared" si="317"/>
        <v>0.71634615384615385</v>
      </c>
      <c r="CZ173" s="508">
        <v>0.84765957446808515</v>
      </c>
      <c r="DA173" s="509">
        <v>0.95769230769230773</v>
      </c>
      <c r="DB173" s="506">
        <v>1514</v>
      </c>
      <c r="DC173" s="507">
        <v>1357</v>
      </c>
      <c r="DD173" s="507">
        <v>1252</v>
      </c>
      <c r="DE173" s="507">
        <v>884</v>
      </c>
      <c r="DF173" s="507">
        <v>884</v>
      </c>
      <c r="DG173" s="508">
        <f t="shared" si="318"/>
        <v>0.65143699336772287</v>
      </c>
      <c r="DH173" s="508">
        <f t="shared" si="319"/>
        <v>0.70607028753993606</v>
      </c>
      <c r="DI173" s="508">
        <v>0.9152542372881356</v>
      </c>
      <c r="DJ173" s="509">
        <v>0.99201277955271561</v>
      </c>
      <c r="DK173" s="506">
        <v>1493</v>
      </c>
      <c r="DL173" s="507">
        <v>1317</v>
      </c>
      <c r="DM173" s="507">
        <v>1245</v>
      </c>
      <c r="DN173" s="507">
        <v>780</v>
      </c>
      <c r="DO173" s="507">
        <v>775</v>
      </c>
      <c r="DP173" s="508">
        <f t="shared" si="320"/>
        <v>0.592255125284738</v>
      </c>
      <c r="DQ173" s="508">
        <f t="shared" si="321"/>
        <v>0.62650602409638556</v>
      </c>
      <c r="DR173" s="508">
        <v>0.94305239179954437</v>
      </c>
      <c r="DS173" s="509">
        <v>0.99759036144578317</v>
      </c>
      <c r="DT173" s="506">
        <v>1768</v>
      </c>
      <c r="DU173" s="507">
        <v>1604</v>
      </c>
      <c r="DV173" s="507">
        <v>1462</v>
      </c>
      <c r="DW173" s="507">
        <v>964</v>
      </c>
      <c r="DX173" s="507">
        <v>964</v>
      </c>
      <c r="DY173" s="508">
        <f t="shared" si="322"/>
        <v>0.60099750623441395</v>
      </c>
      <c r="DZ173" s="508">
        <f t="shared" si="323"/>
        <v>0.65937072503419969</v>
      </c>
      <c r="EA173" s="508">
        <v>0.82294264339152123</v>
      </c>
      <c r="EB173" s="509">
        <v>0.9028727770177839</v>
      </c>
    </row>
    <row r="174" spans="1:132" s="2" customFormat="1" x14ac:dyDescent="0.25">
      <c r="A174" s="503" t="s">
        <v>418</v>
      </c>
      <c r="B174" s="504">
        <v>41340</v>
      </c>
      <c r="C174" s="505" t="s">
        <v>556</v>
      </c>
      <c r="D174" s="506"/>
      <c r="E174" s="507"/>
      <c r="F174" s="507"/>
      <c r="G174" s="507"/>
      <c r="H174" s="507"/>
      <c r="I174" s="508"/>
      <c r="J174" s="509"/>
      <c r="K174" s="506" t="s">
        <v>67</v>
      </c>
      <c r="L174" s="507" t="s">
        <v>67</v>
      </c>
      <c r="M174" s="507" t="s">
        <v>67</v>
      </c>
      <c r="N174" s="507" t="s">
        <v>67</v>
      </c>
      <c r="O174" s="507" t="s">
        <v>67</v>
      </c>
      <c r="P174" s="508" t="s">
        <v>67</v>
      </c>
      <c r="Q174" s="509" t="s">
        <v>67</v>
      </c>
      <c r="R174" s="506" t="s">
        <v>67</v>
      </c>
      <c r="S174" s="507" t="s">
        <v>67</v>
      </c>
      <c r="T174" s="507" t="s">
        <v>67</v>
      </c>
      <c r="U174" s="507" t="s">
        <v>67</v>
      </c>
      <c r="V174" s="507" t="s">
        <v>67</v>
      </c>
      <c r="W174" s="508" t="s">
        <v>67</v>
      </c>
      <c r="X174" s="509" t="s">
        <v>67</v>
      </c>
      <c r="Y174" s="506" t="s">
        <v>67</v>
      </c>
      <c r="Z174" s="507" t="s">
        <v>67</v>
      </c>
      <c r="AA174" s="507" t="s">
        <v>67</v>
      </c>
      <c r="AB174" s="507" t="s">
        <v>67</v>
      </c>
      <c r="AC174" s="507" t="s">
        <v>67</v>
      </c>
      <c r="AD174" s="508" t="s">
        <v>67</v>
      </c>
      <c r="AE174" s="509" t="s">
        <v>67</v>
      </c>
      <c r="AF174" s="506" t="s">
        <v>67</v>
      </c>
      <c r="AG174" s="507" t="s">
        <v>67</v>
      </c>
      <c r="AH174" s="507" t="s">
        <v>67</v>
      </c>
      <c r="AI174" s="507" t="s">
        <v>67</v>
      </c>
      <c r="AJ174" s="507" t="s">
        <v>67</v>
      </c>
      <c r="AK174" s="508" t="s">
        <v>67</v>
      </c>
      <c r="AL174" s="509" t="s">
        <v>67</v>
      </c>
      <c r="AM174" s="506" t="s">
        <v>67</v>
      </c>
      <c r="AN174" s="507" t="s">
        <v>67</v>
      </c>
      <c r="AO174" s="507" t="s">
        <v>67</v>
      </c>
      <c r="AP174" s="507" t="s">
        <v>67</v>
      </c>
      <c r="AQ174" s="507" t="s">
        <v>67</v>
      </c>
      <c r="AR174" s="508" t="s">
        <v>67</v>
      </c>
      <c r="AS174" s="509" t="s">
        <v>67</v>
      </c>
      <c r="AT174" s="506" t="s">
        <v>67</v>
      </c>
      <c r="AU174" s="507" t="s">
        <v>67</v>
      </c>
      <c r="AV174" s="507" t="s">
        <v>67</v>
      </c>
      <c r="AW174" s="507" t="s">
        <v>67</v>
      </c>
      <c r="AX174" s="507" t="s">
        <v>67</v>
      </c>
      <c r="AY174" s="508" t="s">
        <v>67</v>
      </c>
      <c r="AZ174" s="509" t="s">
        <v>67</v>
      </c>
      <c r="BA174" s="506">
        <v>172</v>
      </c>
      <c r="BB174" s="507">
        <v>162</v>
      </c>
      <c r="BC174" s="507">
        <v>113</v>
      </c>
      <c r="BD174" s="507">
        <v>113</v>
      </c>
      <c r="BE174" s="507">
        <v>89</v>
      </c>
      <c r="BF174" s="508">
        <f t="shared" ref="BF174" si="324">BD174/BB174</f>
        <v>0.69753086419753085</v>
      </c>
      <c r="BG174" s="509">
        <f t="shared" ref="BG174" si="325">BD174/BC174</f>
        <v>1</v>
      </c>
      <c r="BH174" s="506">
        <v>118</v>
      </c>
      <c r="BI174" s="507">
        <v>115</v>
      </c>
      <c r="BJ174" s="507">
        <v>91</v>
      </c>
      <c r="BK174" s="507">
        <v>76</v>
      </c>
      <c r="BL174" s="507">
        <v>46</v>
      </c>
      <c r="BM174" s="508">
        <f t="shared" si="306"/>
        <v>0.66086956521739126</v>
      </c>
      <c r="BN174" s="509">
        <f t="shared" si="307"/>
        <v>0.8351648351648352</v>
      </c>
      <c r="BO174" s="506">
        <v>195</v>
      </c>
      <c r="BP174" s="507">
        <v>183</v>
      </c>
      <c r="BQ174" s="507">
        <v>183</v>
      </c>
      <c r="BR174" s="507">
        <v>139</v>
      </c>
      <c r="BS174" s="507">
        <v>103</v>
      </c>
      <c r="BT174" s="508">
        <f t="shared" si="308"/>
        <v>0.7595628415300546</v>
      </c>
      <c r="BU174" s="509">
        <f t="shared" si="309"/>
        <v>0.7595628415300546</v>
      </c>
      <c r="BV174" s="506">
        <v>242</v>
      </c>
      <c r="BW174" s="507">
        <v>236</v>
      </c>
      <c r="BX174" s="507">
        <v>236</v>
      </c>
      <c r="BY174" s="507">
        <v>160</v>
      </c>
      <c r="BZ174" s="507">
        <v>129</v>
      </c>
      <c r="CA174" s="508">
        <f t="shared" si="310"/>
        <v>0.67796610169491522</v>
      </c>
      <c r="CB174" s="509">
        <f t="shared" si="311"/>
        <v>0.67796610169491522</v>
      </c>
      <c r="CC174" s="506">
        <v>236</v>
      </c>
      <c r="CD174" s="507">
        <v>231</v>
      </c>
      <c r="CE174" s="507">
        <v>167</v>
      </c>
      <c r="CF174" s="507">
        <v>110</v>
      </c>
      <c r="CG174" s="507">
        <v>110</v>
      </c>
      <c r="CH174" s="508">
        <f t="shared" si="312"/>
        <v>0.47619047619047616</v>
      </c>
      <c r="CI174" s="509">
        <f t="shared" si="313"/>
        <v>0.6586826347305389</v>
      </c>
      <c r="CJ174" s="506">
        <v>325</v>
      </c>
      <c r="CK174" s="507">
        <v>317</v>
      </c>
      <c r="CL174" s="507">
        <v>228</v>
      </c>
      <c r="CM174" s="507">
        <v>159</v>
      </c>
      <c r="CN174" s="507">
        <v>158</v>
      </c>
      <c r="CO174" s="508">
        <f t="shared" si="314"/>
        <v>0.50157728706624605</v>
      </c>
      <c r="CP174" s="508">
        <f t="shared" si="315"/>
        <v>0.69736842105263153</v>
      </c>
      <c r="CQ174" s="508">
        <v>0.63091482649842268</v>
      </c>
      <c r="CR174" s="509">
        <v>0.8771929824561403</v>
      </c>
      <c r="CS174" s="506">
        <v>194</v>
      </c>
      <c r="CT174" s="507">
        <v>189</v>
      </c>
      <c r="CU174" s="507">
        <v>151</v>
      </c>
      <c r="CV174" s="507">
        <v>82</v>
      </c>
      <c r="CW174" s="507">
        <v>81</v>
      </c>
      <c r="CX174" s="508">
        <f t="shared" si="316"/>
        <v>0.43386243386243384</v>
      </c>
      <c r="CY174" s="508">
        <f t="shared" si="317"/>
        <v>0.54304635761589404</v>
      </c>
      <c r="CZ174" s="508">
        <v>0.60317460317460314</v>
      </c>
      <c r="DA174" s="509">
        <v>0.75496688741721851</v>
      </c>
      <c r="DB174" s="506">
        <v>183</v>
      </c>
      <c r="DC174" s="507">
        <v>176</v>
      </c>
      <c r="DD174" s="507">
        <v>141</v>
      </c>
      <c r="DE174" s="507">
        <v>71</v>
      </c>
      <c r="DF174" s="507">
        <v>71</v>
      </c>
      <c r="DG174" s="508">
        <f t="shared" si="318"/>
        <v>0.40340909090909088</v>
      </c>
      <c r="DH174" s="508">
        <f t="shared" si="319"/>
        <v>0.50354609929078009</v>
      </c>
      <c r="DI174" s="508">
        <v>0.64204545454545459</v>
      </c>
      <c r="DJ174" s="509">
        <v>0.8014184397163121</v>
      </c>
      <c r="DK174" s="506">
        <v>234</v>
      </c>
      <c r="DL174" s="507">
        <v>229</v>
      </c>
      <c r="DM174" s="507">
        <v>179</v>
      </c>
      <c r="DN174" s="507">
        <v>87</v>
      </c>
      <c r="DO174" s="507">
        <v>87</v>
      </c>
      <c r="DP174" s="508">
        <f t="shared" si="320"/>
        <v>0.37991266375545851</v>
      </c>
      <c r="DQ174" s="508">
        <f t="shared" si="321"/>
        <v>0.48603351955307261</v>
      </c>
      <c r="DR174" s="508">
        <v>0.64192139737991272</v>
      </c>
      <c r="DS174" s="509">
        <v>0.82122905027932958</v>
      </c>
      <c r="DT174" s="506">
        <v>261</v>
      </c>
      <c r="DU174" s="507">
        <v>256</v>
      </c>
      <c r="DV174" s="507">
        <v>198</v>
      </c>
      <c r="DW174" s="507">
        <v>110</v>
      </c>
      <c r="DX174" s="507">
        <v>110</v>
      </c>
      <c r="DY174" s="508">
        <f t="shared" si="322"/>
        <v>0.4296875</v>
      </c>
      <c r="DZ174" s="508">
        <f t="shared" si="323"/>
        <v>0.55555555555555558</v>
      </c>
      <c r="EA174" s="508">
        <v>0.62890625</v>
      </c>
      <c r="EB174" s="509">
        <v>0.81313131313131315</v>
      </c>
    </row>
    <row r="175" spans="1:132" s="2" customFormat="1" x14ac:dyDescent="0.25">
      <c r="A175" s="503" t="s">
        <v>418</v>
      </c>
      <c r="B175" s="504" t="s">
        <v>428</v>
      </c>
      <c r="C175" s="505" t="s">
        <v>429</v>
      </c>
      <c r="D175" s="506" t="s">
        <v>21</v>
      </c>
      <c r="E175" s="507" t="s">
        <v>21</v>
      </c>
      <c r="F175" s="507" t="s">
        <v>21</v>
      </c>
      <c r="G175" s="507" t="s">
        <v>21</v>
      </c>
      <c r="H175" s="507" t="s">
        <v>21</v>
      </c>
      <c r="I175" s="508" t="s">
        <v>67</v>
      </c>
      <c r="J175" s="509" t="s">
        <v>67</v>
      </c>
      <c r="K175" s="506" t="s">
        <v>67</v>
      </c>
      <c r="L175" s="507" t="s">
        <v>67</v>
      </c>
      <c r="M175" s="507" t="s">
        <v>67</v>
      </c>
      <c r="N175" s="507" t="s">
        <v>67</v>
      </c>
      <c r="O175" s="507" t="s">
        <v>67</v>
      </c>
      <c r="P175" s="508" t="s">
        <v>67</v>
      </c>
      <c r="Q175" s="509" t="s">
        <v>67</v>
      </c>
      <c r="R175" s="506" t="s">
        <v>67</v>
      </c>
      <c r="S175" s="507" t="s">
        <v>67</v>
      </c>
      <c r="T175" s="507" t="s">
        <v>67</v>
      </c>
      <c r="U175" s="507" t="s">
        <v>67</v>
      </c>
      <c r="V175" s="507" t="s">
        <v>67</v>
      </c>
      <c r="W175" s="508" t="s">
        <v>67</v>
      </c>
      <c r="X175" s="509" t="s">
        <v>67</v>
      </c>
      <c r="Y175" s="506" t="s">
        <v>67</v>
      </c>
      <c r="Z175" s="507" t="s">
        <v>67</v>
      </c>
      <c r="AA175" s="507" t="s">
        <v>67</v>
      </c>
      <c r="AB175" s="507" t="s">
        <v>67</v>
      </c>
      <c r="AC175" s="507" t="s">
        <v>67</v>
      </c>
      <c r="AD175" s="508" t="s">
        <v>67</v>
      </c>
      <c r="AE175" s="509" t="s">
        <v>67</v>
      </c>
      <c r="AF175" s="506">
        <v>362</v>
      </c>
      <c r="AG175" s="507">
        <v>341</v>
      </c>
      <c r="AH175" s="507">
        <v>226</v>
      </c>
      <c r="AI175" s="507">
        <v>226</v>
      </c>
      <c r="AJ175" s="507">
        <v>186</v>
      </c>
      <c r="AK175" s="508" t="s">
        <v>67</v>
      </c>
      <c r="AL175" s="509" t="s">
        <v>67</v>
      </c>
      <c r="AM175" s="506">
        <v>283</v>
      </c>
      <c r="AN175" s="507">
        <v>273</v>
      </c>
      <c r="AO175" s="507">
        <v>214</v>
      </c>
      <c r="AP175" s="507">
        <v>204</v>
      </c>
      <c r="AQ175" s="507">
        <v>170</v>
      </c>
      <c r="AR175" s="508" t="s">
        <v>67</v>
      </c>
      <c r="AS175" s="509" t="s">
        <v>67</v>
      </c>
      <c r="AT175" s="506">
        <v>240</v>
      </c>
      <c r="AU175" s="507">
        <v>235</v>
      </c>
      <c r="AV175" s="507">
        <v>173</v>
      </c>
      <c r="AW175" s="507">
        <v>136</v>
      </c>
      <c r="AX175" s="507">
        <v>104</v>
      </c>
      <c r="AY175" s="508" t="s">
        <v>67</v>
      </c>
      <c r="AZ175" s="509" t="s">
        <v>67</v>
      </c>
      <c r="BA175" s="506" t="s">
        <v>67</v>
      </c>
      <c r="BB175" s="507" t="s">
        <v>67</v>
      </c>
      <c r="BC175" s="507" t="s">
        <v>67</v>
      </c>
      <c r="BD175" s="507" t="s">
        <v>67</v>
      </c>
      <c r="BE175" s="507" t="s">
        <v>67</v>
      </c>
      <c r="BF175" s="508" t="s">
        <v>67</v>
      </c>
      <c r="BG175" s="509" t="s">
        <v>67</v>
      </c>
      <c r="BH175" s="506" t="s">
        <v>67</v>
      </c>
      <c r="BI175" s="507" t="s">
        <v>67</v>
      </c>
      <c r="BJ175" s="507" t="s">
        <v>67</v>
      </c>
      <c r="BK175" s="507" t="s">
        <v>67</v>
      </c>
      <c r="BL175" s="507" t="s">
        <v>67</v>
      </c>
      <c r="BM175" s="508" t="s">
        <v>67</v>
      </c>
      <c r="BN175" s="509" t="s">
        <v>67</v>
      </c>
      <c r="BO175" s="506" t="s">
        <v>67</v>
      </c>
      <c r="BP175" s="507" t="s">
        <v>67</v>
      </c>
      <c r="BQ175" s="507" t="s">
        <v>67</v>
      </c>
      <c r="BR175" s="507" t="s">
        <v>67</v>
      </c>
      <c r="BS175" s="507" t="s">
        <v>67</v>
      </c>
      <c r="BT175" s="508" t="s">
        <v>67</v>
      </c>
      <c r="BU175" s="509" t="s">
        <v>67</v>
      </c>
      <c r="BV175" s="506" t="s">
        <v>67</v>
      </c>
      <c r="BW175" s="507" t="s">
        <v>67</v>
      </c>
      <c r="BX175" s="507" t="s">
        <v>67</v>
      </c>
      <c r="BY175" s="507" t="s">
        <v>67</v>
      </c>
      <c r="BZ175" s="507" t="s">
        <v>67</v>
      </c>
      <c r="CA175" s="508" t="s">
        <v>67</v>
      </c>
      <c r="CB175" s="509" t="s">
        <v>67</v>
      </c>
      <c r="CC175" s="507" t="s">
        <v>67</v>
      </c>
      <c r="CD175" s="507" t="s">
        <v>67</v>
      </c>
      <c r="CE175" s="507" t="s">
        <v>67</v>
      </c>
      <c r="CF175" s="507" t="s">
        <v>67</v>
      </c>
      <c r="CG175" s="507" t="s">
        <v>67</v>
      </c>
      <c r="CH175" s="508" t="s">
        <v>67</v>
      </c>
      <c r="CI175" s="509" t="s">
        <v>67</v>
      </c>
      <c r="CJ175" s="507" t="s">
        <v>67</v>
      </c>
      <c r="CK175" s="507" t="s">
        <v>67</v>
      </c>
      <c r="CL175" s="507" t="s">
        <v>67</v>
      </c>
      <c r="CM175" s="507" t="s">
        <v>67</v>
      </c>
      <c r="CN175" s="507" t="s">
        <v>67</v>
      </c>
      <c r="CO175" s="508" t="s">
        <v>67</v>
      </c>
      <c r="CP175" s="508" t="s">
        <v>67</v>
      </c>
      <c r="CQ175" s="508" t="s">
        <v>67</v>
      </c>
      <c r="CR175" s="509" t="s">
        <v>67</v>
      </c>
      <c r="CS175" s="507" t="s">
        <v>67</v>
      </c>
      <c r="CT175" s="507" t="s">
        <v>67</v>
      </c>
      <c r="CU175" s="507" t="s">
        <v>67</v>
      </c>
      <c r="CV175" s="507" t="s">
        <v>67</v>
      </c>
      <c r="CW175" s="507" t="s">
        <v>67</v>
      </c>
      <c r="CX175" s="508" t="s">
        <v>67</v>
      </c>
      <c r="CY175" s="508" t="s">
        <v>67</v>
      </c>
      <c r="CZ175" s="508" t="s">
        <v>67</v>
      </c>
      <c r="DA175" s="509" t="s">
        <v>67</v>
      </c>
      <c r="DB175" s="507" t="s">
        <v>67</v>
      </c>
      <c r="DC175" s="507" t="s">
        <v>67</v>
      </c>
      <c r="DD175" s="507" t="s">
        <v>67</v>
      </c>
      <c r="DE175" s="507" t="s">
        <v>67</v>
      </c>
      <c r="DF175" s="507" t="s">
        <v>67</v>
      </c>
      <c r="DG175" s="508" t="s">
        <v>67</v>
      </c>
      <c r="DH175" s="508" t="s">
        <v>67</v>
      </c>
      <c r="DI175" s="508" t="s">
        <v>67</v>
      </c>
      <c r="DJ175" s="509" t="s">
        <v>67</v>
      </c>
      <c r="DK175" s="507" t="s">
        <v>67</v>
      </c>
      <c r="DL175" s="507" t="s">
        <v>67</v>
      </c>
      <c r="DM175" s="507" t="s">
        <v>67</v>
      </c>
      <c r="DN175" s="507" t="s">
        <v>67</v>
      </c>
      <c r="DO175" s="507" t="s">
        <v>67</v>
      </c>
      <c r="DP175" s="508" t="s">
        <v>67</v>
      </c>
      <c r="DQ175" s="508" t="s">
        <v>67</v>
      </c>
      <c r="DR175" s="508" t="s">
        <v>67</v>
      </c>
      <c r="DS175" s="509" t="s">
        <v>67</v>
      </c>
      <c r="DT175" s="507" t="s">
        <v>67</v>
      </c>
      <c r="DU175" s="507" t="s">
        <v>67</v>
      </c>
      <c r="DV175" s="507" t="s">
        <v>67</v>
      </c>
      <c r="DW175" s="507" t="s">
        <v>67</v>
      </c>
      <c r="DX175" s="507" t="s">
        <v>67</v>
      </c>
      <c r="DY175" s="508" t="s">
        <v>67</v>
      </c>
      <c r="DZ175" s="508" t="s">
        <v>67</v>
      </c>
      <c r="EA175" s="508" t="s">
        <v>67</v>
      </c>
      <c r="EB175" s="509" t="s">
        <v>67</v>
      </c>
    </row>
    <row r="176" spans="1:132" s="2" customFormat="1" x14ac:dyDescent="0.25">
      <c r="A176" s="511" t="s">
        <v>418</v>
      </c>
      <c r="B176" s="512" t="s">
        <v>430</v>
      </c>
      <c r="C176" s="513" t="s">
        <v>199</v>
      </c>
      <c r="D176" s="514">
        <v>326</v>
      </c>
      <c r="E176" s="515">
        <v>324</v>
      </c>
      <c r="F176" s="515">
        <v>274</v>
      </c>
      <c r="G176" s="515">
        <v>274</v>
      </c>
      <c r="H176" s="515">
        <v>206</v>
      </c>
      <c r="I176" s="516">
        <f t="shared" si="250"/>
        <v>0.84567901234567899</v>
      </c>
      <c r="J176" s="517">
        <f t="shared" si="251"/>
        <v>1</v>
      </c>
      <c r="K176" s="514">
        <v>438</v>
      </c>
      <c r="L176" s="515">
        <v>429</v>
      </c>
      <c r="M176" s="515">
        <v>361</v>
      </c>
      <c r="N176" s="515">
        <v>255</v>
      </c>
      <c r="O176" s="515">
        <v>212</v>
      </c>
      <c r="P176" s="516">
        <f t="shared" ref="P176:P202" si="326">N176/L176</f>
        <v>0.59440559440559437</v>
      </c>
      <c r="Q176" s="517">
        <f t="shared" ref="Q176:Q202" si="327">N176/M176</f>
        <v>0.7063711911357341</v>
      </c>
      <c r="R176" s="514">
        <v>439</v>
      </c>
      <c r="S176" s="515">
        <v>427</v>
      </c>
      <c r="T176" s="515">
        <v>343</v>
      </c>
      <c r="U176" s="515">
        <v>298</v>
      </c>
      <c r="V176" s="515">
        <v>233</v>
      </c>
      <c r="W176" s="516">
        <f t="shared" si="248"/>
        <v>0.69789227166276346</v>
      </c>
      <c r="X176" s="517">
        <f t="shared" si="249"/>
        <v>0.86880466472303208</v>
      </c>
      <c r="Y176" s="514">
        <v>681</v>
      </c>
      <c r="Z176" s="515">
        <v>657</v>
      </c>
      <c r="AA176" s="515">
        <v>552</v>
      </c>
      <c r="AB176" s="515">
        <v>378</v>
      </c>
      <c r="AC176" s="515">
        <v>307</v>
      </c>
      <c r="AD176" s="516">
        <f t="shared" ref="AD176:AD202" si="328">AB176/Z176</f>
        <v>0.57534246575342463</v>
      </c>
      <c r="AE176" s="517">
        <f t="shared" ref="AE176:AE202" si="329">AB176/AA176</f>
        <v>0.68478260869565222</v>
      </c>
      <c r="AF176" s="514">
        <v>536</v>
      </c>
      <c r="AG176" s="515">
        <v>521</v>
      </c>
      <c r="AH176" s="515">
        <v>413</v>
      </c>
      <c r="AI176" s="515">
        <v>160</v>
      </c>
      <c r="AJ176" s="515">
        <v>147</v>
      </c>
      <c r="AK176" s="516">
        <f t="shared" ref="AK176:AK202" si="330">AI176/AG176</f>
        <v>0.30710172744721687</v>
      </c>
      <c r="AL176" s="517">
        <f t="shared" ref="AL176:AL202" si="331">AI176/AH176</f>
        <v>0.38740920096852299</v>
      </c>
      <c r="AM176" s="514">
        <v>552</v>
      </c>
      <c r="AN176" s="515">
        <v>529</v>
      </c>
      <c r="AO176" s="515">
        <v>403</v>
      </c>
      <c r="AP176" s="515">
        <v>155</v>
      </c>
      <c r="AQ176" s="515">
        <v>140</v>
      </c>
      <c r="AR176" s="516">
        <f t="shared" ref="AR176:AR202" si="332">AP176/AN176</f>
        <v>0.29300567107750475</v>
      </c>
      <c r="AS176" s="517">
        <f t="shared" ref="AS176:AS202" si="333">AP176/AO176</f>
        <v>0.38461538461538464</v>
      </c>
      <c r="AT176" s="514">
        <v>451</v>
      </c>
      <c r="AU176" s="515">
        <v>429</v>
      </c>
      <c r="AV176" s="515">
        <v>429</v>
      </c>
      <c r="AW176" s="515">
        <v>158</v>
      </c>
      <c r="AX176" s="515">
        <v>144</v>
      </c>
      <c r="AY176" s="516">
        <f t="shared" ref="AY176:AY199" si="334">AW176/AU176</f>
        <v>0.36829836829836832</v>
      </c>
      <c r="AZ176" s="517">
        <f t="shared" ref="AZ176:AZ199" si="335">AW176/AV176</f>
        <v>0.36829836829836832</v>
      </c>
      <c r="BA176" s="514">
        <v>396</v>
      </c>
      <c r="BB176" s="515">
        <v>384</v>
      </c>
      <c r="BC176" s="515">
        <v>292</v>
      </c>
      <c r="BD176" s="515">
        <v>171</v>
      </c>
      <c r="BE176" s="515">
        <v>148</v>
      </c>
      <c r="BF176" s="516">
        <f t="shared" ref="BF176:BF198" si="336">BD176/BB176</f>
        <v>0.4453125</v>
      </c>
      <c r="BG176" s="517">
        <f t="shared" ref="BG176:BG198" si="337">BD176/BC176</f>
        <v>0.58561643835616439</v>
      </c>
      <c r="BH176" s="514">
        <v>356</v>
      </c>
      <c r="BI176" s="515">
        <v>337</v>
      </c>
      <c r="BJ176" s="515">
        <v>258</v>
      </c>
      <c r="BK176" s="515">
        <v>176</v>
      </c>
      <c r="BL176" s="515">
        <v>156</v>
      </c>
      <c r="BM176" s="516">
        <f t="shared" ref="BM176:BM197" si="338">BK176/BI176</f>
        <v>0.52225519287833833</v>
      </c>
      <c r="BN176" s="517">
        <f t="shared" ref="BN176:BN197" si="339">BK176/BJ176</f>
        <v>0.68217054263565891</v>
      </c>
      <c r="BO176" s="514">
        <v>278</v>
      </c>
      <c r="BP176" s="515">
        <v>266</v>
      </c>
      <c r="BQ176" s="515">
        <v>214</v>
      </c>
      <c r="BR176" s="515">
        <v>158</v>
      </c>
      <c r="BS176" s="515">
        <v>130</v>
      </c>
      <c r="BT176" s="516">
        <f t="shared" ref="BT176:BT197" si="340">BR176/BP176</f>
        <v>0.59398496240601506</v>
      </c>
      <c r="BU176" s="517">
        <f t="shared" ref="BU176:BU197" si="341">BR176/BQ176</f>
        <v>0.73831775700934577</v>
      </c>
      <c r="BV176" s="514">
        <v>299</v>
      </c>
      <c r="BW176" s="515">
        <v>290</v>
      </c>
      <c r="BX176" s="515">
        <v>219</v>
      </c>
      <c r="BY176" s="515">
        <v>177</v>
      </c>
      <c r="BZ176" s="515">
        <v>150</v>
      </c>
      <c r="CA176" s="516">
        <f t="shared" ref="CA176:CA195" si="342">BY176/BW176</f>
        <v>0.6103448275862069</v>
      </c>
      <c r="CB176" s="517">
        <f t="shared" ref="CB176:CB195" si="343">BY176/BX176</f>
        <v>0.80821917808219179</v>
      </c>
      <c r="CC176" s="514">
        <v>290</v>
      </c>
      <c r="CD176" s="515">
        <v>285</v>
      </c>
      <c r="CE176" s="515">
        <v>212</v>
      </c>
      <c r="CF176" s="515">
        <v>165</v>
      </c>
      <c r="CG176" s="515">
        <v>148</v>
      </c>
      <c r="CH176" s="516">
        <f t="shared" ref="CH176:CH195" si="344">CF176/CD176</f>
        <v>0.57894736842105265</v>
      </c>
      <c r="CI176" s="517">
        <f t="shared" ref="CI176:CI195" si="345">CF176/CE176</f>
        <v>0.77830188679245282</v>
      </c>
      <c r="CJ176" s="514">
        <v>466</v>
      </c>
      <c r="CK176" s="515">
        <v>461</v>
      </c>
      <c r="CL176" s="515">
        <v>352</v>
      </c>
      <c r="CM176" s="515">
        <v>143</v>
      </c>
      <c r="CN176" s="515">
        <v>132</v>
      </c>
      <c r="CO176" s="516">
        <f t="shared" ref="CO176:CO195" si="346">CM176/CK176</f>
        <v>0.31019522776572667</v>
      </c>
      <c r="CP176" s="516">
        <f t="shared" ref="CP176:CP195" si="347">CM176/CL176</f>
        <v>0.40625</v>
      </c>
      <c r="CQ176" s="516">
        <v>0.33188720173535791</v>
      </c>
      <c r="CR176" s="517">
        <v>0.43465909090909088</v>
      </c>
      <c r="CS176" s="514">
        <v>454</v>
      </c>
      <c r="CT176" s="515">
        <v>440</v>
      </c>
      <c r="CU176" s="515">
        <v>350</v>
      </c>
      <c r="CV176" s="515">
        <v>146</v>
      </c>
      <c r="CW176" s="515">
        <v>127</v>
      </c>
      <c r="CX176" s="516">
        <f t="shared" ref="CX176:CX195" si="348">CV176/CT176</f>
        <v>0.33181818181818185</v>
      </c>
      <c r="CY176" s="516">
        <f t="shared" ref="CY176:CY195" si="349">CV176/CU176</f>
        <v>0.41714285714285715</v>
      </c>
      <c r="CZ176" s="516">
        <v>0.35909090909090907</v>
      </c>
      <c r="DA176" s="517">
        <v>0.4514285714285714</v>
      </c>
      <c r="DB176" s="514">
        <v>491</v>
      </c>
      <c r="DC176" s="515">
        <v>469</v>
      </c>
      <c r="DD176" s="515">
        <v>381</v>
      </c>
      <c r="DE176" s="515">
        <v>191</v>
      </c>
      <c r="DF176" s="515">
        <v>158</v>
      </c>
      <c r="DG176" s="516">
        <f t="shared" ref="DG176:DG195" si="350">DE176/DC176</f>
        <v>0.40724946695095948</v>
      </c>
      <c r="DH176" s="516">
        <f t="shared" ref="DH176:DH195" si="351">DE176/DD176</f>
        <v>0.50131233595800528</v>
      </c>
      <c r="DI176" s="516">
        <v>0.42857142857142855</v>
      </c>
      <c r="DJ176" s="517">
        <v>0.52755905511811019</v>
      </c>
      <c r="DK176" s="514">
        <v>435</v>
      </c>
      <c r="DL176" s="515">
        <v>420</v>
      </c>
      <c r="DM176" s="515">
        <v>346</v>
      </c>
      <c r="DN176" s="515">
        <v>173</v>
      </c>
      <c r="DO176" s="515">
        <v>144</v>
      </c>
      <c r="DP176" s="516">
        <f t="shared" ref="DP176:DP195" si="352">DN176/DL176</f>
        <v>0.41190476190476188</v>
      </c>
      <c r="DQ176" s="516">
        <f t="shared" ref="DQ176:DQ195" si="353">DN176/DM176</f>
        <v>0.5</v>
      </c>
      <c r="DR176" s="516">
        <v>0.47380952380952379</v>
      </c>
      <c r="DS176" s="517">
        <v>0.57514450867052025</v>
      </c>
      <c r="DT176" s="514">
        <v>421</v>
      </c>
      <c r="DU176" s="515">
        <v>406</v>
      </c>
      <c r="DV176" s="515">
        <v>334</v>
      </c>
      <c r="DW176" s="515">
        <v>215</v>
      </c>
      <c r="DX176" s="515">
        <v>170</v>
      </c>
      <c r="DY176" s="516">
        <f t="shared" ref="DY176:DY195" si="354">DW176/DU176</f>
        <v>0.52955665024630538</v>
      </c>
      <c r="DZ176" s="516">
        <f t="shared" ref="DZ176:DZ195" si="355">DW176/DV176</f>
        <v>0.64371257485029942</v>
      </c>
      <c r="EA176" s="516">
        <v>0.58620689655172409</v>
      </c>
      <c r="EB176" s="517">
        <v>0.71257485029940115</v>
      </c>
    </row>
    <row r="177" spans="1:132" s="2" customFormat="1" x14ac:dyDescent="0.25">
      <c r="A177" s="551" t="s">
        <v>431</v>
      </c>
      <c r="B177" s="489" t="s">
        <v>432</v>
      </c>
      <c r="C177" s="553"/>
      <c r="D177" s="558">
        <v>10493</v>
      </c>
      <c r="E177" s="559">
        <v>7779</v>
      </c>
      <c r="F177" s="559">
        <v>7092</v>
      </c>
      <c r="G177" s="559">
        <v>3665</v>
      </c>
      <c r="H177" s="560">
        <v>3218</v>
      </c>
      <c r="I177" s="561">
        <f t="shared" si="250"/>
        <v>0.47114024938938165</v>
      </c>
      <c r="J177" s="562">
        <f t="shared" si="251"/>
        <v>0.5167794698251551</v>
      </c>
      <c r="K177" s="558">
        <v>10094</v>
      </c>
      <c r="L177" s="559">
        <v>7599</v>
      </c>
      <c r="M177" s="559">
        <v>6975</v>
      </c>
      <c r="N177" s="559">
        <v>3237</v>
      </c>
      <c r="O177" s="560">
        <v>2851</v>
      </c>
      <c r="P177" s="561">
        <f t="shared" si="326"/>
        <v>0.42597710225029611</v>
      </c>
      <c r="Q177" s="562">
        <f t="shared" si="327"/>
        <v>0.46408602150537637</v>
      </c>
      <c r="R177" s="558">
        <v>9528</v>
      </c>
      <c r="S177" s="559">
        <v>7134</v>
      </c>
      <c r="T177" s="559">
        <v>6537</v>
      </c>
      <c r="U177" s="559">
        <v>3203</v>
      </c>
      <c r="V177" s="560">
        <v>2889</v>
      </c>
      <c r="W177" s="561">
        <f t="shared" si="248"/>
        <v>0.44897673114662179</v>
      </c>
      <c r="X177" s="562">
        <f t="shared" si="249"/>
        <v>0.48998011320177454</v>
      </c>
      <c r="Y177" s="558">
        <v>8827</v>
      </c>
      <c r="Z177" s="559">
        <v>6758</v>
      </c>
      <c r="AA177" s="559">
        <v>6227</v>
      </c>
      <c r="AB177" s="559">
        <v>3053</v>
      </c>
      <c r="AC177" s="560">
        <v>2763</v>
      </c>
      <c r="AD177" s="561">
        <f t="shared" si="328"/>
        <v>0.4517608759988162</v>
      </c>
      <c r="AE177" s="562">
        <f t="shared" si="329"/>
        <v>0.49028424602537335</v>
      </c>
      <c r="AF177" s="558">
        <v>8327</v>
      </c>
      <c r="AG177" s="559">
        <v>6253</v>
      </c>
      <c r="AH177" s="559">
        <v>5771</v>
      </c>
      <c r="AI177" s="559">
        <v>3179</v>
      </c>
      <c r="AJ177" s="560">
        <v>2947</v>
      </c>
      <c r="AK177" s="561">
        <f t="shared" si="330"/>
        <v>0.50839596993443148</v>
      </c>
      <c r="AL177" s="562">
        <f t="shared" si="331"/>
        <v>0.55085773696066542</v>
      </c>
      <c r="AM177" s="558">
        <v>7022</v>
      </c>
      <c r="AN177" s="559">
        <v>5309</v>
      </c>
      <c r="AO177" s="559">
        <v>4907</v>
      </c>
      <c r="AP177" s="559">
        <v>3335</v>
      </c>
      <c r="AQ177" s="560">
        <v>2384</v>
      </c>
      <c r="AR177" s="561">
        <f t="shared" si="332"/>
        <v>0.62817856470145039</v>
      </c>
      <c r="AS177" s="562">
        <f t="shared" si="333"/>
        <v>0.67964132871408189</v>
      </c>
      <c r="AT177" s="558">
        <v>6200</v>
      </c>
      <c r="AU177" s="559">
        <v>4805</v>
      </c>
      <c r="AV177" s="559">
        <v>4491</v>
      </c>
      <c r="AW177" s="559">
        <v>3087</v>
      </c>
      <c r="AX177" s="560">
        <v>2138</v>
      </c>
      <c r="AY177" s="561">
        <f t="shared" si="334"/>
        <v>0.64245577523413111</v>
      </c>
      <c r="AZ177" s="562">
        <f t="shared" si="335"/>
        <v>0.68737474949899802</v>
      </c>
      <c r="BA177" s="558">
        <v>5191</v>
      </c>
      <c r="BB177" s="559">
        <v>3986</v>
      </c>
      <c r="BC177" s="559">
        <v>3720</v>
      </c>
      <c r="BD177" s="559">
        <v>2937</v>
      </c>
      <c r="BE177" s="560">
        <v>2040</v>
      </c>
      <c r="BF177" s="561">
        <f t="shared" si="336"/>
        <v>0.7368289011540391</v>
      </c>
      <c r="BG177" s="562">
        <f t="shared" si="337"/>
        <v>0.7895161290322581</v>
      </c>
      <c r="BH177" s="558">
        <v>4608</v>
      </c>
      <c r="BI177" s="559">
        <v>3570</v>
      </c>
      <c r="BJ177" s="559">
        <v>3356</v>
      </c>
      <c r="BK177" s="559">
        <v>3001</v>
      </c>
      <c r="BL177" s="560">
        <v>2099</v>
      </c>
      <c r="BM177" s="561">
        <f t="shared" si="338"/>
        <v>0.84061624649859945</v>
      </c>
      <c r="BN177" s="562">
        <f t="shared" si="339"/>
        <v>0.89421930870083433</v>
      </c>
      <c r="BO177" s="558">
        <v>4777</v>
      </c>
      <c r="BP177" s="559">
        <v>3671</v>
      </c>
      <c r="BQ177" s="559">
        <v>3422</v>
      </c>
      <c r="BR177" s="559">
        <v>2952</v>
      </c>
      <c r="BS177" s="560">
        <v>2126</v>
      </c>
      <c r="BT177" s="561">
        <f t="shared" si="340"/>
        <v>0.80414056115499866</v>
      </c>
      <c r="BU177" s="562">
        <f t="shared" si="341"/>
        <v>0.86265341905318527</v>
      </c>
      <c r="BV177" s="558">
        <v>5335</v>
      </c>
      <c r="BW177" s="559">
        <v>3992</v>
      </c>
      <c r="BX177" s="559">
        <v>3753</v>
      </c>
      <c r="BY177" s="559">
        <v>3436</v>
      </c>
      <c r="BZ177" s="560">
        <v>2271</v>
      </c>
      <c r="CA177" s="561">
        <f t="shared" si="342"/>
        <v>0.86072144288577157</v>
      </c>
      <c r="CB177" s="562">
        <f t="shared" si="343"/>
        <v>0.91553423927524646</v>
      </c>
      <c r="CC177" s="558">
        <v>5620</v>
      </c>
      <c r="CD177" s="559">
        <v>4296</v>
      </c>
      <c r="CE177" s="559">
        <v>4099</v>
      </c>
      <c r="CF177" s="559">
        <v>2927</v>
      </c>
      <c r="CG177" s="560">
        <v>2663</v>
      </c>
      <c r="CH177" s="561">
        <f t="shared" si="344"/>
        <v>0.68133147113594039</v>
      </c>
      <c r="CI177" s="562">
        <f t="shared" si="345"/>
        <v>0.71407660404976825</v>
      </c>
      <c r="CJ177" s="558">
        <v>6288</v>
      </c>
      <c r="CK177" s="559">
        <v>4827</v>
      </c>
      <c r="CL177" s="559">
        <v>4679</v>
      </c>
      <c r="CM177" s="559">
        <v>3022</v>
      </c>
      <c r="CN177" s="560">
        <v>2783</v>
      </c>
      <c r="CO177" s="561">
        <f t="shared" si="346"/>
        <v>0.62606173606795112</v>
      </c>
      <c r="CP177" s="664">
        <f t="shared" si="347"/>
        <v>0.64586450096174397</v>
      </c>
      <c r="CQ177" s="561">
        <v>0.83157240522063391</v>
      </c>
      <c r="CR177" s="562">
        <v>0.85787561444753158</v>
      </c>
      <c r="CS177" s="558">
        <v>6247</v>
      </c>
      <c r="CT177" s="559">
        <v>4717</v>
      </c>
      <c r="CU177" s="559">
        <v>4466</v>
      </c>
      <c r="CV177" s="559">
        <v>2872</v>
      </c>
      <c r="CW177" s="560">
        <v>2611</v>
      </c>
      <c r="CX177" s="561">
        <f t="shared" si="348"/>
        <v>0.60886156455374174</v>
      </c>
      <c r="CY177" s="664">
        <f t="shared" si="349"/>
        <v>0.64308105687416028</v>
      </c>
      <c r="CZ177" s="561">
        <v>0.78397286410854361</v>
      </c>
      <c r="DA177" s="562">
        <v>0.82803403493058669</v>
      </c>
      <c r="DB177" s="558">
        <v>6936</v>
      </c>
      <c r="DC177" s="559">
        <v>5126</v>
      </c>
      <c r="DD177" s="559">
        <v>4906</v>
      </c>
      <c r="DE177" s="559">
        <v>3092</v>
      </c>
      <c r="DF177" s="560">
        <v>2716</v>
      </c>
      <c r="DG177" s="561">
        <f t="shared" si="350"/>
        <v>0.60319937573156457</v>
      </c>
      <c r="DH177" s="664">
        <f t="shared" si="351"/>
        <v>0.63024867509172444</v>
      </c>
      <c r="DI177" s="561">
        <v>0.77487319547405387</v>
      </c>
      <c r="DJ177" s="562">
        <v>0.80962087240114144</v>
      </c>
      <c r="DK177" s="558">
        <v>6693</v>
      </c>
      <c r="DL177" s="559">
        <v>5008</v>
      </c>
      <c r="DM177" s="559">
        <v>4763</v>
      </c>
      <c r="DN177" s="559">
        <v>3087</v>
      </c>
      <c r="DO177" s="560">
        <v>2752</v>
      </c>
      <c r="DP177" s="561">
        <f t="shared" si="352"/>
        <v>0.61641373801916932</v>
      </c>
      <c r="DQ177" s="664">
        <f t="shared" si="353"/>
        <v>0.6481209321855973</v>
      </c>
      <c r="DR177" s="561">
        <v>0.78913738019169333</v>
      </c>
      <c r="DS177" s="562">
        <v>0.82972916229267268</v>
      </c>
      <c r="DT177" s="558">
        <v>7436</v>
      </c>
      <c r="DU177" s="559">
        <v>5396</v>
      </c>
      <c r="DV177" s="559">
        <v>5082</v>
      </c>
      <c r="DW177" s="559">
        <v>3277</v>
      </c>
      <c r="DX177" s="560">
        <v>2887</v>
      </c>
      <c r="DY177" s="561">
        <f t="shared" si="354"/>
        <v>0.60730170496664193</v>
      </c>
      <c r="DZ177" s="664">
        <f t="shared" si="355"/>
        <v>0.64482487209759942</v>
      </c>
      <c r="EA177" s="561">
        <v>0.77223869532987399</v>
      </c>
      <c r="EB177" s="562">
        <v>0.81995277449822901</v>
      </c>
    </row>
    <row r="178" spans="1:132" s="2" customFormat="1" x14ac:dyDescent="0.25">
      <c r="A178" s="554" t="s">
        <v>431</v>
      </c>
      <c r="B178" s="497" t="s">
        <v>433</v>
      </c>
      <c r="C178" s="556" t="s">
        <v>421</v>
      </c>
      <c r="D178" s="499">
        <v>3978</v>
      </c>
      <c r="E178" s="500">
        <v>3367</v>
      </c>
      <c r="F178" s="500">
        <v>2903</v>
      </c>
      <c r="G178" s="500">
        <v>1223</v>
      </c>
      <c r="H178" s="500">
        <v>1019</v>
      </c>
      <c r="I178" s="501">
        <f t="shared" si="250"/>
        <v>0.36323136323136324</v>
      </c>
      <c r="J178" s="502">
        <f t="shared" si="251"/>
        <v>0.42128832242507752</v>
      </c>
      <c r="K178" s="499">
        <v>3587</v>
      </c>
      <c r="L178" s="500">
        <v>3022</v>
      </c>
      <c r="M178" s="500">
        <v>2748</v>
      </c>
      <c r="N178" s="500">
        <v>847</v>
      </c>
      <c r="O178" s="500">
        <v>716</v>
      </c>
      <c r="P178" s="501">
        <f t="shared" si="326"/>
        <v>0.2802779616148246</v>
      </c>
      <c r="Q178" s="502">
        <f t="shared" si="327"/>
        <v>0.30822416302765648</v>
      </c>
      <c r="R178" s="499">
        <v>3251</v>
      </c>
      <c r="S178" s="500">
        <v>2786</v>
      </c>
      <c r="T178" s="500">
        <v>2478</v>
      </c>
      <c r="U178" s="500">
        <v>868</v>
      </c>
      <c r="V178" s="500">
        <v>758</v>
      </c>
      <c r="W178" s="501">
        <f t="shared" si="248"/>
        <v>0.31155778894472363</v>
      </c>
      <c r="X178" s="502">
        <f t="shared" si="249"/>
        <v>0.35028248587570621</v>
      </c>
      <c r="Y178" s="499">
        <v>2944</v>
      </c>
      <c r="Z178" s="500">
        <v>2481</v>
      </c>
      <c r="AA178" s="500">
        <v>2251</v>
      </c>
      <c r="AB178" s="500">
        <v>821</v>
      </c>
      <c r="AC178" s="500">
        <v>759</v>
      </c>
      <c r="AD178" s="501">
        <f t="shared" si="328"/>
        <v>0.33091495364772266</v>
      </c>
      <c r="AE178" s="502">
        <f t="shared" si="329"/>
        <v>0.36472678809418035</v>
      </c>
      <c r="AF178" s="499">
        <v>2836</v>
      </c>
      <c r="AG178" s="500">
        <v>2350</v>
      </c>
      <c r="AH178" s="500">
        <v>2134</v>
      </c>
      <c r="AI178" s="500">
        <v>962</v>
      </c>
      <c r="AJ178" s="500">
        <v>896</v>
      </c>
      <c r="AK178" s="501">
        <f t="shared" si="330"/>
        <v>0.4093617021276596</v>
      </c>
      <c r="AL178" s="502">
        <f t="shared" si="331"/>
        <v>0.450796626054358</v>
      </c>
      <c r="AM178" s="499">
        <v>2358</v>
      </c>
      <c r="AN178" s="500">
        <v>1925</v>
      </c>
      <c r="AO178" s="500">
        <v>1758</v>
      </c>
      <c r="AP178" s="500">
        <v>910</v>
      </c>
      <c r="AQ178" s="500">
        <v>652</v>
      </c>
      <c r="AR178" s="501">
        <f t="shared" si="332"/>
        <v>0.47272727272727272</v>
      </c>
      <c r="AS178" s="502">
        <f t="shared" si="333"/>
        <v>0.51763367463026166</v>
      </c>
      <c r="AT178" s="499">
        <v>1868</v>
      </c>
      <c r="AU178" s="500">
        <v>1576</v>
      </c>
      <c r="AV178" s="500">
        <v>1406</v>
      </c>
      <c r="AW178" s="500">
        <v>781</v>
      </c>
      <c r="AX178" s="500">
        <v>507</v>
      </c>
      <c r="AY178" s="501">
        <f t="shared" si="334"/>
        <v>0.49555837563451777</v>
      </c>
      <c r="AZ178" s="502">
        <f t="shared" si="335"/>
        <v>0.55547652916073964</v>
      </c>
      <c r="BA178" s="499">
        <v>1476</v>
      </c>
      <c r="BB178" s="500">
        <v>1264</v>
      </c>
      <c r="BC178" s="500">
        <v>1139</v>
      </c>
      <c r="BD178" s="500">
        <v>858</v>
      </c>
      <c r="BE178" s="500">
        <v>562</v>
      </c>
      <c r="BF178" s="501">
        <f t="shared" si="336"/>
        <v>0.67879746835443033</v>
      </c>
      <c r="BG178" s="502">
        <f t="shared" si="337"/>
        <v>0.75329236172080771</v>
      </c>
      <c r="BH178" s="499">
        <v>1317</v>
      </c>
      <c r="BI178" s="500">
        <v>1129</v>
      </c>
      <c r="BJ178" s="500">
        <v>1007</v>
      </c>
      <c r="BK178" s="500">
        <v>987</v>
      </c>
      <c r="BL178" s="500">
        <v>651</v>
      </c>
      <c r="BM178" s="501">
        <f t="shared" si="338"/>
        <v>0.87422497785651021</v>
      </c>
      <c r="BN178" s="502">
        <f t="shared" si="339"/>
        <v>0.9801390268123138</v>
      </c>
      <c r="BO178" s="499">
        <v>1371</v>
      </c>
      <c r="BP178" s="500">
        <v>1169</v>
      </c>
      <c r="BQ178" s="500">
        <v>1030</v>
      </c>
      <c r="BR178" s="500">
        <v>949</v>
      </c>
      <c r="BS178" s="500">
        <v>669</v>
      </c>
      <c r="BT178" s="501">
        <f t="shared" si="340"/>
        <v>0.81180496150556036</v>
      </c>
      <c r="BU178" s="502">
        <f t="shared" si="341"/>
        <v>0.92135922330097086</v>
      </c>
      <c r="BV178" s="499">
        <v>1654</v>
      </c>
      <c r="BW178" s="500">
        <v>1361</v>
      </c>
      <c r="BX178" s="500">
        <v>1184</v>
      </c>
      <c r="BY178" s="500">
        <v>1151</v>
      </c>
      <c r="BZ178" s="500">
        <v>674</v>
      </c>
      <c r="CA178" s="501">
        <f t="shared" si="342"/>
        <v>0.84570168993387218</v>
      </c>
      <c r="CB178" s="502">
        <f t="shared" si="343"/>
        <v>0.9721283783783784</v>
      </c>
      <c r="CC178" s="499">
        <v>1908</v>
      </c>
      <c r="CD178" s="500">
        <v>1555</v>
      </c>
      <c r="CE178" s="500">
        <v>1433</v>
      </c>
      <c r="CF178" s="500">
        <v>972</v>
      </c>
      <c r="CG178" s="500">
        <v>873</v>
      </c>
      <c r="CH178" s="501">
        <f t="shared" si="344"/>
        <v>0.62508038585209003</v>
      </c>
      <c r="CI178" s="502">
        <f t="shared" si="345"/>
        <v>0.67829727843684573</v>
      </c>
      <c r="CJ178" s="499">
        <v>1918</v>
      </c>
      <c r="CK178" s="500">
        <v>1590</v>
      </c>
      <c r="CL178" s="500">
        <v>1531</v>
      </c>
      <c r="CM178" s="500">
        <v>855</v>
      </c>
      <c r="CN178" s="500">
        <v>823</v>
      </c>
      <c r="CO178" s="501">
        <f t="shared" si="346"/>
        <v>0.53773584905660377</v>
      </c>
      <c r="CP178" s="501">
        <f t="shared" si="347"/>
        <v>0.558458523840627</v>
      </c>
      <c r="CQ178" s="501">
        <v>0.80188679245283023</v>
      </c>
      <c r="CR178" s="502">
        <v>0.83278902677988242</v>
      </c>
      <c r="CS178" s="499">
        <v>2126</v>
      </c>
      <c r="CT178" s="500">
        <v>1731</v>
      </c>
      <c r="CU178" s="500">
        <v>1600</v>
      </c>
      <c r="CV178" s="500">
        <v>938</v>
      </c>
      <c r="CW178" s="500">
        <v>878</v>
      </c>
      <c r="CX178" s="501">
        <f t="shared" si="348"/>
        <v>0.5418833044482958</v>
      </c>
      <c r="CY178" s="501">
        <f t="shared" si="349"/>
        <v>0.58625000000000005</v>
      </c>
      <c r="CZ178" s="501">
        <v>0.72097053726169846</v>
      </c>
      <c r="DA178" s="502">
        <v>0.78</v>
      </c>
      <c r="DB178" s="499">
        <v>2085</v>
      </c>
      <c r="DC178" s="500">
        <v>1711</v>
      </c>
      <c r="DD178" s="500">
        <v>1542</v>
      </c>
      <c r="DE178" s="500">
        <v>954</v>
      </c>
      <c r="DF178" s="500">
        <v>849</v>
      </c>
      <c r="DG178" s="501">
        <f t="shared" si="350"/>
        <v>0.55756867329047344</v>
      </c>
      <c r="DH178" s="501">
        <f t="shared" si="351"/>
        <v>0.61867704280155644</v>
      </c>
      <c r="DI178" s="501">
        <v>0.71537112799532432</v>
      </c>
      <c r="DJ178" s="502">
        <v>0.79377431906614782</v>
      </c>
      <c r="DK178" s="499">
        <v>2167</v>
      </c>
      <c r="DL178" s="500">
        <v>1721</v>
      </c>
      <c r="DM178" s="500">
        <v>1537</v>
      </c>
      <c r="DN178" s="500">
        <v>918</v>
      </c>
      <c r="DO178" s="500">
        <v>822</v>
      </c>
      <c r="DP178" s="501">
        <f t="shared" si="352"/>
        <v>0.5334108076699593</v>
      </c>
      <c r="DQ178" s="501">
        <f t="shared" si="353"/>
        <v>0.59726740403383216</v>
      </c>
      <c r="DR178" s="501">
        <v>0.69668797210923883</v>
      </c>
      <c r="DS178" s="502">
        <v>0.7800910865322056</v>
      </c>
      <c r="DT178" s="499">
        <v>2619</v>
      </c>
      <c r="DU178" s="500">
        <v>2022</v>
      </c>
      <c r="DV178" s="500">
        <v>1824</v>
      </c>
      <c r="DW178" s="500">
        <v>1092</v>
      </c>
      <c r="DX178" s="500">
        <v>936</v>
      </c>
      <c r="DY178" s="501">
        <f t="shared" si="354"/>
        <v>0.5400593471810089</v>
      </c>
      <c r="DZ178" s="501">
        <f t="shared" si="355"/>
        <v>0.59868421052631582</v>
      </c>
      <c r="EA178" s="501">
        <v>0.66221562809099899</v>
      </c>
      <c r="EB178" s="502">
        <v>0.73410087719298245</v>
      </c>
    </row>
    <row r="179" spans="1:132" s="2" customFormat="1" x14ac:dyDescent="0.25">
      <c r="A179" s="503" t="s">
        <v>431</v>
      </c>
      <c r="B179" s="504" t="s">
        <v>434</v>
      </c>
      <c r="C179" s="505" t="s">
        <v>435</v>
      </c>
      <c r="D179" s="506">
        <v>2018</v>
      </c>
      <c r="E179" s="507">
        <v>1620</v>
      </c>
      <c r="F179" s="507">
        <v>1620</v>
      </c>
      <c r="G179" s="507">
        <v>822</v>
      </c>
      <c r="H179" s="507">
        <v>772</v>
      </c>
      <c r="I179" s="508">
        <f t="shared" si="250"/>
        <v>0.50740740740740742</v>
      </c>
      <c r="J179" s="509">
        <f t="shared" si="251"/>
        <v>0.50740740740740742</v>
      </c>
      <c r="K179" s="506">
        <v>1836</v>
      </c>
      <c r="L179" s="507">
        <v>1506</v>
      </c>
      <c r="M179" s="507">
        <v>1506</v>
      </c>
      <c r="N179" s="507">
        <v>713</v>
      </c>
      <c r="O179" s="507">
        <v>701</v>
      </c>
      <c r="P179" s="508">
        <f t="shared" si="326"/>
        <v>0.47343957503320055</v>
      </c>
      <c r="Q179" s="509">
        <f t="shared" si="327"/>
        <v>0.47343957503320055</v>
      </c>
      <c r="R179" s="506">
        <v>1696</v>
      </c>
      <c r="S179" s="507">
        <v>1394</v>
      </c>
      <c r="T179" s="507">
        <v>1394</v>
      </c>
      <c r="U179" s="507">
        <v>741</v>
      </c>
      <c r="V179" s="507">
        <v>715</v>
      </c>
      <c r="W179" s="508">
        <f t="shared" si="248"/>
        <v>0.53156384505021526</v>
      </c>
      <c r="X179" s="509">
        <f t="shared" si="249"/>
        <v>0.53156384505021526</v>
      </c>
      <c r="Y179" s="506">
        <v>1660</v>
      </c>
      <c r="Z179" s="507">
        <v>1396</v>
      </c>
      <c r="AA179" s="507">
        <v>1396</v>
      </c>
      <c r="AB179" s="507">
        <v>660</v>
      </c>
      <c r="AC179" s="507">
        <v>639</v>
      </c>
      <c r="AD179" s="508">
        <f t="shared" si="328"/>
        <v>0.47277936962750716</v>
      </c>
      <c r="AE179" s="509">
        <f t="shared" si="329"/>
        <v>0.47277936962750716</v>
      </c>
      <c r="AF179" s="506">
        <v>1525</v>
      </c>
      <c r="AG179" s="507">
        <v>1257</v>
      </c>
      <c r="AH179" s="507">
        <v>1257</v>
      </c>
      <c r="AI179" s="507">
        <v>610</v>
      </c>
      <c r="AJ179" s="507">
        <v>597</v>
      </c>
      <c r="AK179" s="508">
        <f t="shared" si="330"/>
        <v>0.48528241845664283</v>
      </c>
      <c r="AL179" s="509">
        <f t="shared" si="331"/>
        <v>0.48528241845664283</v>
      </c>
      <c r="AM179" s="506">
        <v>1504</v>
      </c>
      <c r="AN179" s="507">
        <v>1251</v>
      </c>
      <c r="AO179" s="507">
        <v>1251</v>
      </c>
      <c r="AP179" s="507">
        <v>1018</v>
      </c>
      <c r="AQ179" s="507">
        <v>591</v>
      </c>
      <c r="AR179" s="508">
        <f t="shared" si="332"/>
        <v>0.81374900079936052</v>
      </c>
      <c r="AS179" s="509">
        <f t="shared" si="333"/>
        <v>0.81374900079936052</v>
      </c>
      <c r="AT179" s="506">
        <v>1614</v>
      </c>
      <c r="AU179" s="507">
        <v>1337</v>
      </c>
      <c r="AV179" s="507">
        <v>1337</v>
      </c>
      <c r="AW179" s="507">
        <v>951</v>
      </c>
      <c r="AX179" s="507">
        <v>541</v>
      </c>
      <c r="AY179" s="508">
        <f t="shared" si="334"/>
        <v>0.7112939416604338</v>
      </c>
      <c r="AZ179" s="509">
        <f t="shared" si="335"/>
        <v>0.7112939416604338</v>
      </c>
      <c r="BA179" s="506">
        <v>1426</v>
      </c>
      <c r="BB179" s="507">
        <v>1137</v>
      </c>
      <c r="BC179" s="507">
        <v>1137</v>
      </c>
      <c r="BD179" s="507">
        <v>923</v>
      </c>
      <c r="BE179" s="507">
        <v>567</v>
      </c>
      <c r="BF179" s="508">
        <f t="shared" si="336"/>
        <v>0.81178540017590151</v>
      </c>
      <c r="BG179" s="509">
        <f t="shared" si="337"/>
        <v>0.81178540017590151</v>
      </c>
      <c r="BH179" s="506">
        <v>1346</v>
      </c>
      <c r="BI179" s="507">
        <v>1077</v>
      </c>
      <c r="BJ179" s="507">
        <v>1077</v>
      </c>
      <c r="BK179" s="507">
        <v>933</v>
      </c>
      <c r="BL179" s="507">
        <v>578</v>
      </c>
      <c r="BM179" s="508">
        <f t="shared" si="338"/>
        <v>0.86629526462395545</v>
      </c>
      <c r="BN179" s="509">
        <f t="shared" si="339"/>
        <v>0.86629526462395545</v>
      </c>
      <c r="BO179" s="506">
        <v>1257</v>
      </c>
      <c r="BP179" s="507">
        <v>1013</v>
      </c>
      <c r="BQ179" s="507">
        <v>1013</v>
      </c>
      <c r="BR179" s="507">
        <v>871</v>
      </c>
      <c r="BS179" s="507">
        <v>507</v>
      </c>
      <c r="BT179" s="508">
        <f t="shared" si="340"/>
        <v>0.859822309970385</v>
      </c>
      <c r="BU179" s="509">
        <f t="shared" si="341"/>
        <v>0.859822309970385</v>
      </c>
      <c r="BV179" s="506">
        <v>1450</v>
      </c>
      <c r="BW179" s="507">
        <v>1177</v>
      </c>
      <c r="BX179" s="507">
        <v>1177</v>
      </c>
      <c r="BY179" s="507">
        <v>982</v>
      </c>
      <c r="BZ179" s="507">
        <v>593</v>
      </c>
      <c r="CA179" s="508">
        <f t="shared" si="342"/>
        <v>0.83432455395072214</v>
      </c>
      <c r="CB179" s="509">
        <f t="shared" si="343"/>
        <v>0.83432455395072214</v>
      </c>
      <c r="CC179" s="506">
        <v>1405</v>
      </c>
      <c r="CD179" s="507">
        <v>1131</v>
      </c>
      <c r="CE179" s="507">
        <v>1131</v>
      </c>
      <c r="CF179" s="507">
        <v>662</v>
      </c>
      <c r="CG179" s="507">
        <v>617</v>
      </c>
      <c r="CH179" s="508">
        <f t="shared" si="344"/>
        <v>0.58532272325375778</v>
      </c>
      <c r="CI179" s="509">
        <f t="shared" si="345"/>
        <v>0.58532272325375778</v>
      </c>
      <c r="CJ179" s="506">
        <v>1567</v>
      </c>
      <c r="CK179" s="507">
        <v>1252</v>
      </c>
      <c r="CL179" s="507">
        <v>1252</v>
      </c>
      <c r="CM179" s="507">
        <v>736</v>
      </c>
      <c r="CN179" s="507">
        <v>671</v>
      </c>
      <c r="CO179" s="508">
        <f t="shared" si="346"/>
        <v>0.58785942492012777</v>
      </c>
      <c r="CP179" s="508">
        <f t="shared" si="347"/>
        <v>0.58785942492012777</v>
      </c>
      <c r="CQ179" s="508">
        <v>0.85063897763578278</v>
      </c>
      <c r="CR179" s="509">
        <v>0.85063897763578278</v>
      </c>
      <c r="CS179" s="506">
        <v>1408</v>
      </c>
      <c r="CT179" s="507">
        <v>1129</v>
      </c>
      <c r="CU179" s="507">
        <v>1129</v>
      </c>
      <c r="CV179" s="507">
        <v>644</v>
      </c>
      <c r="CW179" s="507">
        <v>608</v>
      </c>
      <c r="CX179" s="508">
        <f t="shared" si="348"/>
        <v>0.5704162976085031</v>
      </c>
      <c r="CY179" s="508">
        <f t="shared" si="349"/>
        <v>0.5704162976085031</v>
      </c>
      <c r="CZ179" s="508">
        <v>0.86891054030115145</v>
      </c>
      <c r="DA179" s="509">
        <v>0.86891054030115145</v>
      </c>
      <c r="DB179" s="506">
        <v>1695</v>
      </c>
      <c r="DC179" s="507">
        <v>1335</v>
      </c>
      <c r="DD179" s="507">
        <v>1335</v>
      </c>
      <c r="DE179" s="507">
        <v>705</v>
      </c>
      <c r="DF179" s="507">
        <v>674</v>
      </c>
      <c r="DG179" s="508">
        <f t="shared" si="350"/>
        <v>0.5280898876404494</v>
      </c>
      <c r="DH179" s="508">
        <f t="shared" si="351"/>
        <v>0.5280898876404494</v>
      </c>
      <c r="DI179" s="508">
        <v>0.84943820224719102</v>
      </c>
      <c r="DJ179" s="509">
        <v>0.84943820224719102</v>
      </c>
      <c r="DK179" s="506">
        <v>1605</v>
      </c>
      <c r="DL179" s="507">
        <v>1263</v>
      </c>
      <c r="DM179" s="507">
        <v>1263</v>
      </c>
      <c r="DN179" s="507">
        <v>707</v>
      </c>
      <c r="DO179" s="507">
        <v>670</v>
      </c>
      <c r="DP179" s="508">
        <f t="shared" si="352"/>
        <v>0.55977830562153608</v>
      </c>
      <c r="DQ179" s="508">
        <f t="shared" si="353"/>
        <v>0.55977830562153608</v>
      </c>
      <c r="DR179" s="508">
        <v>0.87410926365795727</v>
      </c>
      <c r="DS179" s="509">
        <v>0.87410926365795727</v>
      </c>
      <c r="DT179" s="506">
        <v>1678</v>
      </c>
      <c r="DU179" s="507">
        <v>1355</v>
      </c>
      <c r="DV179" s="507">
        <v>1355</v>
      </c>
      <c r="DW179" s="507">
        <v>718</v>
      </c>
      <c r="DX179" s="507">
        <v>697</v>
      </c>
      <c r="DY179" s="508">
        <f t="shared" si="354"/>
        <v>0.52988929889298897</v>
      </c>
      <c r="DZ179" s="508">
        <f t="shared" si="355"/>
        <v>0.52988929889298897</v>
      </c>
      <c r="EA179" s="508">
        <v>0.85682656826568271</v>
      </c>
      <c r="EB179" s="509">
        <v>0.85682656826568271</v>
      </c>
    </row>
    <row r="180" spans="1:132" s="2" customFormat="1" x14ac:dyDescent="0.25">
      <c r="A180" s="503" t="s">
        <v>431</v>
      </c>
      <c r="B180" s="504">
        <v>43310</v>
      </c>
      <c r="C180" s="505" t="s">
        <v>436</v>
      </c>
      <c r="D180" s="506">
        <v>2036</v>
      </c>
      <c r="E180" s="507">
        <v>1733</v>
      </c>
      <c r="F180" s="507">
        <v>1485</v>
      </c>
      <c r="G180" s="507">
        <v>456</v>
      </c>
      <c r="H180" s="507">
        <v>380</v>
      </c>
      <c r="I180" s="508">
        <f t="shared" si="250"/>
        <v>0.26312752452394689</v>
      </c>
      <c r="J180" s="509">
        <f t="shared" si="251"/>
        <v>0.30707070707070705</v>
      </c>
      <c r="K180" s="506">
        <v>1983</v>
      </c>
      <c r="L180" s="507">
        <v>1675</v>
      </c>
      <c r="M180" s="507">
        <v>1353</v>
      </c>
      <c r="N180" s="507">
        <v>429</v>
      </c>
      <c r="O180" s="507">
        <v>349</v>
      </c>
      <c r="P180" s="508">
        <f t="shared" si="326"/>
        <v>0.25611940298507463</v>
      </c>
      <c r="Q180" s="509">
        <f t="shared" si="327"/>
        <v>0.31707317073170732</v>
      </c>
      <c r="R180" s="506">
        <v>1774</v>
      </c>
      <c r="S180" s="507">
        <v>1484</v>
      </c>
      <c r="T180" s="507">
        <v>1178</v>
      </c>
      <c r="U180" s="507">
        <v>310</v>
      </c>
      <c r="V180" s="507">
        <v>257</v>
      </c>
      <c r="W180" s="508">
        <f t="shared" si="248"/>
        <v>0.20889487870619947</v>
      </c>
      <c r="X180" s="509">
        <f t="shared" si="249"/>
        <v>0.26315789473684209</v>
      </c>
      <c r="Y180" s="506">
        <v>1460</v>
      </c>
      <c r="Z180" s="507">
        <v>1234</v>
      </c>
      <c r="AA180" s="507">
        <v>958</v>
      </c>
      <c r="AB180" s="507">
        <v>376</v>
      </c>
      <c r="AC180" s="507">
        <v>319</v>
      </c>
      <c r="AD180" s="508">
        <f t="shared" si="328"/>
        <v>0.3047001620745543</v>
      </c>
      <c r="AE180" s="509">
        <f t="shared" si="329"/>
        <v>0.39248434237995827</v>
      </c>
      <c r="AF180" s="506">
        <v>1389</v>
      </c>
      <c r="AG180" s="507">
        <v>1157</v>
      </c>
      <c r="AH180" s="507">
        <v>898</v>
      </c>
      <c r="AI180" s="507">
        <v>432</v>
      </c>
      <c r="AJ180" s="507">
        <v>379</v>
      </c>
      <c r="AK180" s="508">
        <f t="shared" si="330"/>
        <v>0.37337942955920483</v>
      </c>
      <c r="AL180" s="509">
        <f t="shared" si="331"/>
        <v>0.48106904231625836</v>
      </c>
      <c r="AM180" s="506">
        <v>997</v>
      </c>
      <c r="AN180" s="507">
        <v>848</v>
      </c>
      <c r="AO180" s="507">
        <v>666</v>
      </c>
      <c r="AP180" s="507">
        <v>265</v>
      </c>
      <c r="AQ180" s="507">
        <v>205</v>
      </c>
      <c r="AR180" s="508">
        <f t="shared" si="332"/>
        <v>0.3125</v>
      </c>
      <c r="AS180" s="509">
        <f t="shared" si="333"/>
        <v>0.39789789789789792</v>
      </c>
      <c r="AT180" s="506">
        <v>808</v>
      </c>
      <c r="AU180" s="507">
        <v>670</v>
      </c>
      <c r="AV180" s="507">
        <v>562</v>
      </c>
      <c r="AW180" s="507">
        <v>291</v>
      </c>
      <c r="AX180" s="507">
        <v>209</v>
      </c>
      <c r="AY180" s="508">
        <f t="shared" si="334"/>
        <v>0.43432835820895521</v>
      </c>
      <c r="AZ180" s="509">
        <f t="shared" si="335"/>
        <v>0.51779359430604988</v>
      </c>
      <c r="BA180" s="506">
        <v>754</v>
      </c>
      <c r="BB180" s="507">
        <v>651</v>
      </c>
      <c r="BC180" s="507">
        <v>526</v>
      </c>
      <c r="BD180" s="507">
        <v>277</v>
      </c>
      <c r="BE180" s="507">
        <v>199</v>
      </c>
      <c r="BF180" s="508">
        <f t="shared" si="336"/>
        <v>0.42549923195084488</v>
      </c>
      <c r="BG180" s="509">
        <f t="shared" si="337"/>
        <v>0.52661596958174905</v>
      </c>
      <c r="BH180" s="506">
        <v>583</v>
      </c>
      <c r="BI180" s="507">
        <v>501</v>
      </c>
      <c r="BJ180" s="507">
        <v>417</v>
      </c>
      <c r="BK180" s="507">
        <v>264</v>
      </c>
      <c r="BL180" s="507">
        <v>188</v>
      </c>
      <c r="BM180" s="508">
        <f t="shared" si="338"/>
        <v>0.52694610778443118</v>
      </c>
      <c r="BN180" s="509">
        <f t="shared" si="339"/>
        <v>0.63309352517985606</v>
      </c>
      <c r="BO180" s="506">
        <v>708</v>
      </c>
      <c r="BP180" s="507">
        <v>592</v>
      </c>
      <c r="BQ180" s="507">
        <v>481</v>
      </c>
      <c r="BR180" s="507">
        <v>338</v>
      </c>
      <c r="BS180" s="507">
        <v>252</v>
      </c>
      <c r="BT180" s="508">
        <f t="shared" si="340"/>
        <v>0.57094594594594594</v>
      </c>
      <c r="BU180" s="509">
        <f t="shared" si="341"/>
        <v>0.70270270270270274</v>
      </c>
      <c r="BV180" s="506">
        <v>612</v>
      </c>
      <c r="BW180" s="507">
        <v>479</v>
      </c>
      <c r="BX180" s="507">
        <v>402</v>
      </c>
      <c r="BY180" s="507">
        <v>332</v>
      </c>
      <c r="BZ180" s="507">
        <v>195</v>
      </c>
      <c r="CA180" s="508">
        <f t="shared" si="342"/>
        <v>0.6931106471816284</v>
      </c>
      <c r="CB180" s="509">
        <f t="shared" si="343"/>
        <v>0.82587064676616917</v>
      </c>
      <c r="CC180" s="506">
        <v>786</v>
      </c>
      <c r="CD180" s="507">
        <v>686</v>
      </c>
      <c r="CE180" s="507">
        <v>589</v>
      </c>
      <c r="CF180" s="507">
        <v>365</v>
      </c>
      <c r="CG180" s="507">
        <v>326</v>
      </c>
      <c r="CH180" s="508">
        <f t="shared" si="344"/>
        <v>0.53206997084548102</v>
      </c>
      <c r="CI180" s="509">
        <f t="shared" si="345"/>
        <v>0.61969439728353137</v>
      </c>
      <c r="CJ180" s="506">
        <v>865</v>
      </c>
      <c r="CK180" s="507">
        <v>758</v>
      </c>
      <c r="CL180" s="507">
        <v>658</v>
      </c>
      <c r="CM180" s="507">
        <v>412</v>
      </c>
      <c r="CN180" s="507">
        <v>401</v>
      </c>
      <c r="CO180" s="508">
        <f t="shared" si="346"/>
        <v>0.54353562005277045</v>
      </c>
      <c r="CP180" s="508">
        <f t="shared" si="347"/>
        <v>0.62613981762917936</v>
      </c>
      <c r="CQ180" s="508">
        <v>0.72295514511873349</v>
      </c>
      <c r="CR180" s="509">
        <v>0.83282674772036469</v>
      </c>
      <c r="CS180" s="506">
        <v>638</v>
      </c>
      <c r="CT180" s="507">
        <v>579</v>
      </c>
      <c r="CU180" s="507">
        <v>469</v>
      </c>
      <c r="CV180" s="507">
        <v>268</v>
      </c>
      <c r="CW180" s="507">
        <v>234</v>
      </c>
      <c r="CX180" s="508">
        <f t="shared" si="348"/>
        <v>0.46286701208981001</v>
      </c>
      <c r="CY180" s="508">
        <f t="shared" si="349"/>
        <v>0.5714285714285714</v>
      </c>
      <c r="CZ180" s="508">
        <v>0.67875647668393779</v>
      </c>
      <c r="DA180" s="509">
        <v>0.83795309168443499</v>
      </c>
      <c r="DB180" s="506">
        <v>697</v>
      </c>
      <c r="DC180" s="507">
        <v>627</v>
      </c>
      <c r="DD180" s="507">
        <v>566</v>
      </c>
      <c r="DE180" s="507">
        <v>307</v>
      </c>
      <c r="DF180" s="507">
        <v>258</v>
      </c>
      <c r="DG180" s="508">
        <f t="shared" si="350"/>
        <v>0.48963317384370014</v>
      </c>
      <c r="DH180" s="508">
        <f t="shared" si="351"/>
        <v>0.54240282685512364</v>
      </c>
      <c r="DI180" s="508">
        <v>0.72248803827751196</v>
      </c>
      <c r="DJ180" s="509">
        <v>0.80035335689045939</v>
      </c>
      <c r="DK180" s="506">
        <v>517</v>
      </c>
      <c r="DL180" s="507">
        <v>470</v>
      </c>
      <c r="DM180" s="507">
        <v>418</v>
      </c>
      <c r="DN180" s="507">
        <v>279</v>
      </c>
      <c r="DO180" s="507">
        <v>232</v>
      </c>
      <c r="DP180" s="508">
        <f t="shared" si="352"/>
        <v>0.59361702127659577</v>
      </c>
      <c r="DQ180" s="508">
        <f t="shared" si="353"/>
        <v>0.66746411483253587</v>
      </c>
      <c r="DR180" s="508">
        <v>0.81063829787234043</v>
      </c>
      <c r="DS180" s="509">
        <v>0.91148325358851678</v>
      </c>
      <c r="DT180" s="506">
        <v>609</v>
      </c>
      <c r="DU180" s="507">
        <v>554</v>
      </c>
      <c r="DV180" s="507">
        <v>442</v>
      </c>
      <c r="DW180" s="507">
        <v>332</v>
      </c>
      <c r="DX180" s="507">
        <v>282</v>
      </c>
      <c r="DY180" s="508">
        <f t="shared" si="354"/>
        <v>0.59927797833935015</v>
      </c>
      <c r="DZ180" s="508">
        <f t="shared" si="355"/>
        <v>0.75113122171945701</v>
      </c>
      <c r="EA180" s="508">
        <v>0.73285198555956677</v>
      </c>
      <c r="EB180" s="509">
        <v>0.91855203619909498</v>
      </c>
    </row>
    <row r="181" spans="1:132" s="2" customFormat="1" x14ac:dyDescent="0.25">
      <c r="A181" s="503" t="s">
        <v>431</v>
      </c>
      <c r="B181" s="504" t="s">
        <v>437</v>
      </c>
      <c r="C181" s="505" t="s">
        <v>438</v>
      </c>
      <c r="D181" s="506">
        <v>993</v>
      </c>
      <c r="E181" s="507">
        <v>846</v>
      </c>
      <c r="F181" s="507">
        <v>761</v>
      </c>
      <c r="G181" s="507">
        <v>521</v>
      </c>
      <c r="H181" s="507">
        <v>450</v>
      </c>
      <c r="I181" s="508">
        <f t="shared" si="250"/>
        <v>0.61583924349881791</v>
      </c>
      <c r="J181" s="509">
        <f t="shared" si="251"/>
        <v>0.68462549277266749</v>
      </c>
      <c r="K181" s="506">
        <v>1185</v>
      </c>
      <c r="L181" s="507">
        <v>992</v>
      </c>
      <c r="M181" s="507">
        <v>886</v>
      </c>
      <c r="N181" s="507">
        <v>584</v>
      </c>
      <c r="O181" s="507">
        <v>493</v>
      </c>
      <c r="P181" s="508">
        <f t="shared" si="326"/>
        <v>0.58870967741935487</v>
      </c>
      <c r="Q181" s="509">
        <f t="shared" si="327"/>
        <v>0.65914221218961622</v>
      </c>
      <c r="R181" s="506">
        <v>1091</v>
      </c>
      <c r="S181" s="507">
        <v>891</v>
      </c>
      <c r="T181" s="507">
        <v>803</v>
      </c>
      <c r="U181" s="507">
        <v>571</v>
      </c>
      <c r="V181" s="507">
        <v>512</v>
      </c>
      <c r="W181" s="508">
        <f t="shared" si="248"/>
        <v>0.64085297418630749</v>
      </c>
      <c r="X181" s="509">
        <f t="shared" si="249"/>
        <v>0.71108343711083433</v>
      </c>
      <c r="Y181" s="506">
        <v>1126</v>
      </c>
      <c r="Z181" s="507">
        <v>940</v>
      </c>
      <c r="AA181" s="507">
        <v>826</v>
      </c>
      <c r="AB181" s="507">
        <v>553</v>
      </c>
      <c r="AC181" s="507">
        <v>464</v>
      </c>
      <c r="AD181" s="508">
        <f t="shared" si="328"/>
        <v>0.58829787234042552</v>
      </c>
      <c r="AE181" s="509">
        <f t="shared" si="329"/>
        <v>0.66949152542372881</v>
      </c>
      <c r="AF181" s="506">
        <v>963</v>
      </c>
      <c r="AG181" s="507">
        <v>805</v>
      </c>
      <c r="AH181" s="507">
        <v>723</v>
      </c>
      <c r="AI181" s="507">
        <v>579</v>
      </c>
      <c r="AJ181" s="507">
        <v>491</v>
      </c>
      <c r="AK181" s="508">
        <f t="shared" si="330"/>
        <v>0.71925465838509317</v>
      </c>
      <c r="AL181" s="509">
        <f t="shared" si="331"/>
        <v>0.80082987551867224</v>
      </c>
      <c r="AM181" s="506">
        <v>876</v>
      </c>
      <c r="AN181" s="507">
        <v>707</v>
      </c>
      <c r="AO181" s="507">
        <v>635</v>
      </c>
      <c r="AP181" s="507">
        <v>612</v>
      </c>
      <c r="AQ181" s="507">
        <v>432</v>
      </c>
      <c r="AR181" s="508">
        <f t="shared" si="332"/>
        <v>0.86562942008486565</v>
      </c>
      <c r="AS181" s="509">
        <f t="shared" si="333"/>
        <v>0.96377952755905516</v>
      </c>
      <c r="AT181" s="506">
        <v>813</v>
      </c>
      <c r="AU181" s="507">
        <v>668</v>
      </c>
      <c r="AV181" s="507">
        <v>597</v>
      </c>
      <c r="AW181" s="507">
        <v>581</v>
      </c>
      <c r="AX181" s="507">
        <v>424</v>
      </c>
      <c r="AY181" s="508">
        <f t="shared" si="334"/>
        <v>0.86976047904191611</v>
      </c>
      <c r="AZ181" s="509">
        <f t="shared" si="335"/>
        <v>0.97319932998324954</v>
      </c>
      <c r="BA181" s="506">
        <v>682</v>
      </c>
      <c r="BB181" s="507">
        <v>556</v>
      </c>
      <c r="BC181" s="507">
        <v>496</v>
      </c>
      <c r="BD181" s="507">
        <v>471</v>
      </c>
      <c r="BE181" s="507">
        <v>311</v>
      </c>
      <c r="BF181" s="508">
        <f t="shared" si="336"/>
        <v>0.84712230215827333</v>
      </c>
      <c r="BG181" s="509">
        <f t="shared" si="337"/>
        <v>0.94959677419354838</v>
      </c>
      <c r="BH181" s="506">
        <v>546</v>
      </c>
      <c r="BI181" s="507">
        <v>448</v>
      </c>
      <c r="BJ181" s="507">
        <v>404</v>
      </c>
      <c r="BK181" s="507">
        <v>394</v>
      </c>
      <c r="BL181" s="507">
        <v>268</v>
      </c>
      <c r="BM181" s="508">
        <f t="shared" si="338"/>
        <v>0.8794642857142857</v>
      </c>
      <c r="BN181" s="509">
        <f t="shared" si="339"/>
        <v>0.97524752475247523</v>
      </c>
      <c r="BO181" s="506">
        <v>481</v>
      </c>
      <c r="BP181" s="507">
        <v>404</v>
      </c>
      <c r="BQ181" s="507">
        <v>368</v>
      </c>
      <c r="BR181" s="507">
        <v>359</v>
      </c>
      <c r="BS181" s="507">
        <v>269</v>
      </c>
      <c r="BT181" s="508">
        <f t="shared" si="340"/>
        <v>0.88861386138613863</v>
      </c>
      <c r="BU181" s="509">
        <f t="shared" si="341"/>
        <v>0.97554347826086951</v>
      </c>
      <c r="BV181" s="506">
        <v>931</v>
      </c>
      <c r="BW181" s="507">
        <v>738</v>
      </c>
      <c r="BX181" s="507">
        <v>734</v>
      </c>
      <c r="BY181" s="507">
        <v>719</v>
      </c>
      <c r="BZ181" s="507">
        <v>488</v>
      </c>
      <c r="CA181" s="508">
        <f t="shared" si="342"/>
        <v>0.9742547425474255</v>
      </c>
      <c r="CB181" s="509">
        <f t="shared" si="343"/>
        <v>0.97956403269754766</v>
      </c>
      <c r="CC181" s="506">
        <v>877</v>
      </c>
      <c r="CD181" s="507">
        <v>736</v>
      </c>
      <c r="CE181" s="507">
        <v>726</v>
      </c>
      <c r="CF181" s="507">
        <v>550</v>
      </c>
      <c r="CG181" s="507">
        <v>479</v>
      </c>
      <c r="CH181" s="508">
        <f t="shared" si="344"/>
        <v>0.74728260869565222</v>
      </c>
      <c r="CI181" s="509">
        <f t="shared" si="345"/>
        <v>0.75757575757575757</v>
      </c>
      <c r="CJ181" s="506">
        <v>1023</v>
      </c>
      <c r="CK181" s="507">
        <v>832</v>
      </c>
      <c r="CL181" s="507">
        <v>822</v>
      </c>
      <c r="CM181" s="507">
        <v>612</v>
      </c>
      <c r="CN181" s="507">
        <v>527</v>
      </c>
      <c r="CO181" s="508">
        <f t="shared" si="346"/>
        <v>0.73557692307692313</v>
      </c>
      <c r="CP181" s="508">
        <f t="shared" si="347"/>
        <v>0.74452554744525545</v>
      </c>
      <c r="CQ181" s="508">
        <v>0.93269230769230771</v>
      </c>
      <c r="CR181" s="509">
        <v>0.94403892944038925</v>
      </c>
      <c r="CS181" s="506">
        <v>1115</v>
      </c>
      <c r="CT181" s="507">
        <v>869</v>
      </c>
      <c r="CU181" s="507">
        <v>853</v>
      </c>
      <c r="CV181" s="507">
        <v>636</v>
      </c>
      <c r="CW181" s="507">
        <v>538</v>
      </c>
      <c r="CX181" s="508">
        <f t="shared" si="348"/>
        <v>0.73187571921749139</v>
      </c>
      <c r="CY181" s="508">
        <f t="shared" si="349"/>
        <v>0.74560375146541613</v>
      </c>
      <c r="CZ181" s="508">
        <v>0.86766398158803226</v>
      </c>
      <c r="DA181" s="509">
        <v>0.88393903868698709</v>
      </c>
      <c r="DB181" s="506">
        <v>1242</v>
      </c>
      <c r="DC181" s="507">
        <v>959</v>
      </c>
      <c r="DD181" s="507">
        <v>950</v>
      </c>
      <c r="DE181" s="507">
        <v>702</v>
      </c>
      <c r="DF181" s="507">
        <v>561</v>
      </c>
      <c r="DG181" s="508">
        <f t="shared" si="350"/>
        <v>0.73201251303441084</v>
      </c>
      <c r="DH181" s="508">
        <f t="shared" si="351"/>
        <v>0.73894736842105269</v>
      </c>
      <c r="DI181" s="508">
        <v>0.92075078206465066</v>
      </c>
      <c r="DJ181" s="509">
        <v>0.92947368421052634</v>
      </c>
      <c r="DK181" s="506">
        <v>1231</v>
      </c>
      <c r="DL181" s="507">
        <v>968</v>
      </c>
      <c r="DM181" s="507">
        <v>952</v>
      </c>
      <c r="DN181" s="507">
        <v>710</v>
      </c>
      <c r="DO181" s="507">
        <v>594</v>
      </c>
      <c r="DP181" s="508">
        <f t="shared" si="352"/>
        <v>0.73347107438016534</v>
      </c>
      <c r="DQ181" s="508">
        <f t="shared" si="353"/>
        <v>0.74579831932773111</v>
      </c>
      <c r="DR181" s="508">
        <v>0.9225206611570248</v>
      </c>
      <c r="DS181" s="509">
        <v>0.93802521008403361</v>
      </c>
      <c r="DT181" s="506">
        <v>1278</v>
      </c>
      <c r="DU181" s="507">
        <v>988</v>
      </c>
      <c r="DV181" s="507">
        <v>977</v>
      </c>
      <c r="DW181" s="507">
        <v>655</v>
      </c>
      <c r="DX181" s="507">
        <v>540</v>
      </c>
      <c r="DY181" s="508">
        <f t="shared" si="354"/>
        <v>0.66295546558704455</v>
      </c>
      <c r="DZ181" s="508">
        <f t="shared" si="355"/>
        <v>0.67041965199590581</v>
      </c>
      <c r="EA181" s="508">
        <v>0.84514170040485825</v>
      </c>
      <c r="EB181" s="509">
        <v>0.85465711361310137</v>
      </c>
    </row>
    <row r="182" spans="1:132" s="2" customFormat="1" x14ac:dyDescent="0.25">
      <c r="A182" s="503" t="s">
        <v>431</v>
      </c>
      <c r="B182" s="504" t="s">
        <v>439</v>
      </c>
      <c r="C182" s="505" t="s">
        <v>440</v>
      </c>
      <c r="D182" s="506">
        <v>731</v>
      </c>
      <c r="E182" s="507">
        <v>572</v>
      </c>
      <c r="F182" s="507">
        <v>525</v>
      </c>
      <c r="G182" s="507">
        <v>396</v>
      </c>
      <c r="H182" s="507">
        <v>327</v>
      </c>
      <c r="I182" s="508">
        <f t="shared" si="250"/>
        <v>0.69230769230769229</v>
      </c>
      <c r="J182" s="509">
        <f t="shared" si="251"/>
        <v>0.75428571428571434</v>
      </c>
      <c r="K182" s="506">
        <v>706</v>
      </c>
      <c r="L182" s="507">
        <v>546</v>
      </c>
      <c r="M182" s="507">
        <v>524</v>
      </c>
      <c r="N182" s="507">
        <v>401</v>
      </c>
      <c r="O182" s="507">
        <v>318</v>
      </c>
      <c r="P182" s="508">
        <f t="shared" si="326"/>
        <v>0.73443223443223449</v>
      </c>
      <c r="Q182" s="509">
        <f t="shared" si="327"/>
        <v>0.76526717557251911</v>
      </c>
      <c r="R182" s="506">
        <v>984</v>
      </c>
      <c r="S182" s="507">
        <v>672</v>
      </c>
      <c r="T182" s="507">
        <v>660</v>
      </c>
      <c r="U182" s="507">
        <v>499</v>
      </c>
      <c r="V182" s="507">
        <v>414</v>
      </c>
      <c r="W182" s="508">
        <f t="shared" si="248"/>
        <v>0.74255952380952384</v>
      </c>
      <c r="X182" s="509">
        <f t="shared" si="249"/>
        <v>0.7560606060606061</v>
      </c>
      <c r="Y182" s="506">
        <v>959</v>
      </c>
      <c r="Z182" s="507">
        <v>744</v>
      </c>
      <c r="AA182" s="507">
        <v>727</v>
      </c>
      <c r="AB182" s="507">
        <v>493</v>
      </c>
      <c r="AC182" s="507">
        <v>381</v>
      </c>
      <c r="AD182" s="508">
        <f t="shared" si="328"/>
        <v>0.6626344086021505</v>
      </c>
      <c r="AE182" s="509">
        <f t="shared" si="329"/>
        <v>0.6781292984869326</v>
      </c>
      <c r="AF182" s="506">
        <v>1043</v>
      </c>
      <c r="AG182" s="507">
        <v>774</v>
      </c>
      <c r="AH182" s="507">
        <v>756</v>
      </c>
      <c r="AI182" s="507">
        <v>444</v>
      </c>
      <c r="AJ182" s="507">
        <v>378</v>
      </c>
      <c r="AK182" s="508">
        <f t="shared" si="330"/>
        <v>0.5736434108527132</v>
      </c>
      <c r="AL182" s="509">
        <f t="shared" si="331"/>
        <v>0.58730158730158732</v>
      </c>
      <c r="AM182" s="506">
        <v>754</v>
      </c>
      <c r="AN182" s="507">
        <v>586</v>
      </c>
      <c r="AO182" s="507">
        <v>574</v>
      </c>
      <c r="AP182" s="507">
        <v>398</v>
      </c>
      <c r="AQ182" s="507">
        <v>304</v>
      </c>
      <c r="AR182" s="508">
        <f t="shared" si="332"/>
        <v>0.67918088737201365</v>
      </c>
      <c r="AS182" s="509">
        <f t="shared" si="333"/>
        <v>0.69337979094076652</v>
      </c>
      <c r="AT182" s="506">
        <v>562</v>
      </c>
      <c r="AU182" s="507">
        <v>441</v>
      </c>
      <c r="AV182" s="507">
        <v>432</v>
      </c>
      <c r="AW182" s="507">
        <v>318</v>
      </c>
      <c r="AX182" s="507">
        <v>251</v>
      </c>
      <c r="AY182" s="508">
        <f t="shared" si="334"/>
        <v>0.72108843537414968</v>
      </c>
      <c r="AZ182" s="509">
        <f t="shared" si="335"/>
        <v>0.73611111111111116</v>
      </c>
      <c r="BA182" s="506">
        <v>434</v>
      </c>
      <c r="BB182" s="507">
        <v>352</v>
      </c>
      <c r="BC182" s="507">
        <v>350</v>
      </c>
      <c r="BD182" s="507">
        <v>293</v>
      </c>
      <c r="BE182" s="507">
        <v>222</v>
      </c>
      <c r="BF182" s="508">
        <f t="shared" si="336"/>
        <v>0.83238636363636365</v>
      </c>
      <c r="BG182" s="509">
        <f t="shared" si="337"/>
        <v>0.83714285714285719</v>
      </c>
      <c r="BH182" s="506">
        <v>443</v>
      </c>
      <c r="BI182" s="507">
        <v>359</v>
      </c>
      <c r="BJ182" s="507">
        <v>355</v>
      </c>
      <c r="BK182" s="507">
        <v>299</v>
      </c>
      <c r="BL182" s="507">
        <v>240</v>
      </c>
      <c r="BM182" s="508">
        <f t="shared" si="338"/>
        <v>0.83286908077994426</v>
      </c>
      <c r="BN182" s="509">
        <f t="shared" si="339"/>
        <v>0.84225352112676055</v>
      </c>
      <c r="BO182" s="506">
        <v>588</v>
      </c>
      <c r="BP182" s="507">
        <v>461</v>
      </c>
      <c r="BQ182" s="507">
        <v>461</v>
      </c>
      <c r="BR182" s="507">
        <v>336</v>
      </c>
      <c r="BS182" s="507">
        <v>266</v>
      </c>
      <c r="BT182" s="508">
        <f t="shared" si="340"/>
        <v>0.72885032537960959</v>
      </c>
      <c r="BU182" s="509">
        <f t="shared" si="341"/>
        <v>0.72885032537960959</v>
      </c>
      <c r="BV182" s="506">
        <v>522</v>
      </c>
      <c r="BW182" s="507">
        <v>416</v>
      </c>
      <c r="BX182" s="507">
        <v>413</v>
      </c>
      <c r="BY182" s="507">
        <v>358</v>
      </c>
      <c r="BZ182" s="507">
        <v>241</v>
      </c>
      <c r="CA182" s="508">
        <f t="shared" si="342"/>
        <v>0.86057692307692313</v>
      </c>
      <c r="CB182" s="509">
        <f t="shared" si="343"/>
        <v>0.86682808716707027</v>
      </c>
      <c r="CC182" s="506">
        <v>499</v>
      </c>
      <c r="CD182" s="507">
        <v>407</v>
      </c>
      <c r="CE182" s="507">
        <v>407</v>
      </c>
      <c r="CF182" s="507">
        <v>328</v>
      </c>
      <c r="CG182" s="507">
        <v>273</v>
      </c>
      <c r="CH182" s="508">
        <f t="shared" si="344"/>
        <v>0.8058968058968059</v>
      </c>
      <c r="CI182" s="509">
        <f t="shared" si="345"/>
        <v>0.8058968058968059</v>
      </c>
      <c r="CJ182" s="506">
        <v>577</v>
      </c>
      <c r="CK182" s="507">
        <v>472</v>
      </c>
      <c r="CL182" s="507">
        <v>469</v>
      </c>
      <c r="CM182" s="507">
        <v>353</v>
      </c>
      <c r="CN182" s="507">
        <v>277</v>
      </c>
      <c r="CO182" s="508">
        <f t="shared" si="346"/>
        <v>0.7478813559322034</v>
      </c>
      <c r="CP182" s="508">
        <f t="shared" si="347"/>
        <v>0.75266524520255862</v>
      </c>
      <c r="CQ182" s="508">
        <v>0.87076271186440679</v>
      </c>
      <c r="CR182" s="509">
        <v>0.87633262260127931</v>
      </c>
      <c r="CS182" s="506">
        <v>544</v>
      </c>
      <c r="CT182" s="507">
        <v>444</v>
      </c>
      <c r="CU182" s="507">
        <v>431</v>
      </c>
      <c r="CV182" s="507">
        <v>344</v>
      </c>
      <c r="CW182" s="507">
        <v>273</v>
      </c>
      <c r="CX182" s="508">
        <f t="shared" si="348"/>
        <v>0.77477477477477474</v>
      </c>
      <c r="CY182" s="508">
        <f t="shared" si="349"/>
        <v>0.79814385150812062</v>
      </c>
      <c r="CZ182" s="508">
        <v>0.8783783783783784</v>
      </c>
      <c r="DA182" s="509">
        <v>0.90487238979118334</v>
      </c>
      <c r="DB182" s="506">
        <v>708</v>
      </c>
      <c r="DC182" s="507">
        <v>581</v>
      </c>
      <c r="DD182" s="507">
        <v>571</v>
      </c>
      <c r="DE182" s="507">
        <v>412</v>
      </c>
      <c r="DF182" s="507">
        <v>313</v>
      </c>
      <c r="DG182" s="508">
        <f t="shared" si="350"/>
        <v>0.7091222030981067</v>
      </c>
      <c r="DH182" s="508">
        <f t="shared" si="351"/>
        <v>0.72154115586690015</v>
      </c>
      <c r="DI182" s="508">
        <v>0.78485370051635117</v>
      </c>
      <c r="DJ182" s="509">
        <v>0.79859894921190888</v>
      </c>
      <c r="DK182" s="506">
        <v>685</v>
      </c>
      <c r="DL182" s="507">
        <v>580</v>
      </c>
      <c r="DM182" s="507">
        <v>576</v>
      </c>
      <c r="DN182" s="507">
        <v>429</v>
      </c>
      <c r="DO182" s="507">
        <v>348</v>
      </c>
      <c r="DP182" s="508">
        <f t="shared" si="352"/>
        <v>0.73965517241379308</v>
      </c>
      <c r="DQ182" s="508">
        <f t="shared" si="353"/>
        <v>0.74479166666666663</v>
      </c>
      <c r="DR182" s="508">
        <v>0.84655172413793101</v>
      </c>
      <c r="DS182" s="509">
        <v>0.85243055555555558</v>
      </c>
      <c r="DT182" s="506">
        <v>764</v>
      </c>
      <c r="DU182" s="507">
        <v>620</v>
      </c>
      <c r="DV182" s="507">
        <v>612</v>
      </c>
      <c r="DW182" s="507">
        <v>458</v>
      </c>
      <c r="DX182" s="507">
        <v>352</v>
      </c>
      <c r="DY182" s="508">
        <f t="shared" si="354"/>
        <v>0.73870967741935489</v>
      </c>
      <c r="DZ182" s="508">
        <f t="shared" si="355"/>
        <v>0.74836601307189543</v>
      </c>
      <c r="EA182" s="508">
        <v>0.85161290322580641</v>
      </c>
      <c r="EB182" s="509">
        <v>0.86274509803921573</v>
      </c>
    </row>
    <row r="183" spans="1:132" s="2" customFormat="1" x14ac:dyDescent="0.25">
      <c r="A183" s="511" t="s">
        <v>431</v>
      </c>
      <c r="B183" s="512" t="s">
        <v>441</v>
      </c>
      <c r="C183" s="513" t="s">
        <v>199</v>
      </c>
      <c r="D183" s="514">
        <v>737</v>
      </c>
      <c r="E183" s="515">
        <v>720</v>
      </c>
      <c r="F183" s="515">
        <v>683</v>
      </c>
      <c r="G183" s="515">
        <v>354</v>
      </c>
      <c r="H183" s="515">
        <v>294</v>
      </c>
      <c r="I183" s="516">
        <f t="shared" si="250"/>
        <v>0.49166666666666664</v>
      </c>
      <c r="J183" s="517">
        <f t="shared" si="251"/>
        <v>0.51830161054172763</v>
      </c>
      <c r="K183" s="514">
        <v>797</v>
      </c>
      <c r="L183" s="515">
        <v>778</v>
      </c>
      <c r="M183" s="515">
        <v>725</v>
      </c>
      <c r="N183" s="515">
        <v>370</v>
      </c>
      <c r="O183" s="515">
        <v>288</v>
      </c>
      <c r="P183" s="516">
        <f t="shared" si="326"/>
        <v>0.47557840616966579</v>
      </c>
      <c r="Q183" s="517">
        <f t="shared" si="327"/>
        <v>0.51034482758620692</v>
      </c>
      <c r="R183" s="514">
        <v>732</v>
      </c>
      <c r="S183" s="515">
        <v>697</v>
      </c>
      <c r="T183" s="515">
        <v>670</v>
      </c>
      <c r="U183" s="515">
        <v>299</v>
      </c>
      <c r="V183" s="515">
        <v>254</v>
      </c>
      <c r="W183" s="516">
        <f t="shared" si="248"/>
        <v>0.42898134863701576</v>
      </c>
      <c r="X183" s="517">
        <f t="shared" si="249"/>
        <v>0.44626865671641791</v>
      </c>
      <c r="Y183" s="514">
        <v>678</v>
      </c>
      <c r="Z183" s="515">
        <v>651</v>
      </c>
      <c r="AA183" s="515">
        <v>641</v>
      </c>
      <c r="AB183" s="515">
        <v>246</v>
      </c>
      <c r="AC183" s="515">
        <v>223</v>
      </c>
      <c r="AD183" s="516">
        <f t="shared" si="328"/>
        <v>0.37788018433179721</v>
      </c>
      <c r="AE183" s="517">
        <f t="shared" si="329"/>
        <v>0.38377535101404059</v>
      </c>
      <c r="AF183" s="514">
        <v>571</v>
      </c>
      <c r="AG183" s="515">
        <v>549</v>
      </c>
      <c r="AH183" s="515">
        <v>530</v>
      </c>
      <c r="AI183" s="515">
        <v>240</v>
      </c>
      <c r="AJ183" s="515">
        <v>217</v>
      </c>
      <c r="AK183" s="516">
        <f t="shared" si="330"/>
        <v>0.43715846994535518</v>
      </c>
      <c r="AL183" s="517">
        <f t="shared" si="331"/>
        <v>0.45283018867924529</v>
      </c>
      <c r="AM183" s="514">
        <v>533</v>
      </c>
      <c r="AN183" s="515">
        <v>520</v>
      </c>
      <c r="AO183" s="515">
        <v>481</v>
      </c>
      <c r="AP183" s="515">
        <v>304</v>
      </c>
      <c r="AQ183" s="515">
        <v>208</v>
      </c>
      <c r="AR183" s="516">
        <f t="shared" si="332"/>
        <v>0.58461538461538465</v>
      </c>
      <c r="AS183" s="517">
        <f t="shared" si="333"/>
        <v>0.63201663201663205</v>
      </c>
      <c r="AT183" s="514">
        <v>535</v>
      </c>
      <c r="AU183" s="515">
        <v>520</v>
      </c>
      <c r="AV183" s="515">
        <v>511</v>
      </c>
      <c r="AW183" s="515">
        <v>296</v>
      </c>
      <c r="AX183" s="515">
        <v>215</v>
      </c>
      <c r="AY183" s="516">
        <f t="shared" si="334"/>
        <v>0.56923076923076921</v>
      </c>
      <c r="AZ183" s="517">
        <f t="shared" si="335"/>
        <v>0.57925636007827785</v>
      </c>
      <c r="BA183" s="514">
        <v>419</v>
      </c>
      <c r="BB183" s="515">
        <v>405</v>
      </c>
      <c r="BC183" s="515">
        <v>391</v>
      </c>
      <c r="BD183" s="515">
        <v>270</v>
      </c>
      <c r="BE183" s="515">
        <v>188</v>
      </c>
      <c r="BF183" s="516">
        <f t="shared" si="336"/>
        <v>0.66666666666666663</v>
      </c>
      <c r="BG183" s="517">
        <f t="shared" si="337"/>
        <v>0.69053708439897699</v>
      </c>
      <c r="BH183" s="514">
        <v>373</v>
      </c>
      <c r="BI183" s="515">
        <v>363</v>
      </c>
      <c r="BJ183" s="515">
        <v>354</v>
      </c>
      <c r="BK183" s="515">
        <v>279</v>
      </c>
      <c r="BL183" s="515">
        <v>185</v>
      </c>
      <c r="BM183" s="516">
        <f t="shared" si="338"/>
        <v>0.76859504132231404</v>
      </c>
      <c r="BN183" s="517">
        <f t="shared" si="339"/>
        <v>0.78813559322033899</v>
      </c>
      <c r="BO183" s="514">
        <v>372</v>
      </c>
      <c r="BP183" s="515">
        <v>356</v>
      </c>
      <c r="BQ183" s="515">
        <v>345</v>
      </c>
      <c r="BR183" s="515">
        <v>273</v>
      </c>
      <c r="BS183" s="515">
        <v>177</v>
      </c>
      <c r="BT183" s="516">
        <f t="shared" si="340"/>
        <v>0.7668539325842697</v>
      </c>
      <c r="BU183" s="517">
        <f t="shared" si="341"/>
        <v>0.79130434782608694</v>
      </c>
      <c r="BV183" s="514">
        <v>166</v>
      </c>
      <c r="BW183" s="515">
        <v>159</v>
      </c>
      <c r="BX183" s="515">
        <v>149</v>
      </c>
      <c r="BY183" s="515">
        <v>118</v>
      </c>
      <c r="BZ183" s="515">
        <v>99</v>
      </c>
      <c r="CA183" s="516">
        <f t="shared" si="342"/>
        <v>0.74213836477987416</v>
      </c>
      <c r="CB183" s="517">
        <f t="shared" si="343"/>
        <v>0.79194630872483218</v>
      </c>
      <c r="CC183" s="514">
        <v>145</v>
      </c>
      <c r="CD183" s="515">
        <v>143</v>
      </c>
      <c r="CE183" s="515">
        <v>140</v>
      </c>
      <c r="CF183" s="515">
        <v>129</v>
      </c>
      <c r="CG183" s="515">
        <v>122</v>
      </c>
      <c r="CH183" s="516">
        <f t="shared" si="344"/>
        <v>0.90209790209790208</v>
      </c>
      <c r="CI183" s="517">
        <f t="shared" si="345"/>
        <v>0.92142857142857137</v>
      </c>
      <c r="CJ183" s="514">
        <v>338</v>
      </c>
      <c r="CK183" s="515">
        <v>316</v>
      </c>
      <c r="CL183" s="515">
        <v>294</v>
      </c>
      <c r="CM183" s="515">
        <v>107</v>
      </c>
      <c r="CN183" s="515">
        <v>99</v>
      </c>
      <c r="CO183" s="516">
        <f t="shared" si="346"/>
        <v>0.33860759493670883</v>
      </c>
      <c r="CP183" s="516">
        <f t="shared" si="347"/>
        <v>0.36394557823129253</v>
      </c>
      <c r="CQ183" s="516">
        <v>0.35126582278481011</v>
      </c>
      <c r="CR183" s="517">
        <v>0.37755102040816324</v>
      </c>
      <c r="CS183" s="514">
        <v>416</v>
      </c>
      <c r="CT183" s="515">
        <v>387</v>
      </c>
      <c r="CU183" s="515">
        <v>342</v>
      </c>
      <c r="CV183" s="515">
        <v>98</v>
      </c>
      <c r="CW183" s="515">
        <v>95</v>
      </c>
      <c r="CX183" s="516">
        <f t="shared" si="348"/>
        <v>0.25322997416020671</v>
      </c>
      <c r="CY183" s="516">
        <f t="shared" si="349"/>
        <v>0.28654970760233917</v>
      </c>
      <c r="CZ183" s="516">
        <v>0.28165374677002586</v>
      </c>
      <c r="DA183" s="517">
        <v>0.31871345029239767</v>
      </c>
      <c r="DB183" s="514">
        <v>509</v>
      </c>
      <c r="DC183" s="515">
        <v>468</v>
      </c>
      <c r="DD183" s="515">
        <v>428</v>
      </c>
      <c r="DE183" s="515">
        <v>81</v>
      </c>
      <c r="DF183" s="515">
        <v>77</v>
      </c>
      <c r="DG183" s="516">
        <f t="shared" si="350"/>
        <v>0.17307692307692307</v>
      </c>
      <c r="DH183" s="516">
        <f t="shared" si="351"/>
        <v>0.18925233644859812</v>
      </c>
      <c r="DI183" s="516">
        <v>0.19871794871794871</v>
      </c>
      <c r="DJ183" s="517">
        <v>0.21728971962616822</v>
      </c>
      <c r="DK183" s="514">
        <v>488</v>
      </c>
      <c r="DL183" s="515">
        <v>452</v>
      </c>
      <c r="DM183" s="515">
        <v>403</v>
      </c>
      <c r="DN183" s="515">
        <v>107</v>
      </c>
      <c r="DO183" s="515">
        <v>99</v>
      </c>
      <c r="DP183" s="516">
        <f t="shared" si="352"/>
        <v>0.23672566371681417</v>
      </c>
      <c r="DQ183" s="516">
        <f t="shared" si="353"/>
        <v>0.26550868486352358</v>
      </c>
      <c r="DR183" s="516">
        <v>0.27654867256637167</v>
      </c>
      <c r="DS183" s="517">
        <v>0.31017369727047145</v>
      </c>
      <c r="DT183" s="514">
        <v>488</v>
      </c>
      <c r="DU183" s="515">
        <v>440</v>
      </c>
      <c r="DV183" s="515">
        <v>387</v>
      </c>
      <c r="DW183" s="515">
        <v>105</v>
      </c>
      <c r="DX183" s="515">
        <v>97</v>
      </c>
      <c r="DY183" s="516">
        <f t="shared" si="354"/>
        <v>0.23863636363636365</v>
      </c>
      <c r="DZ183" s="516">
        <f t="shared" si="355"/>
        <v>0.27131782945736432</v>
      </c>
      <c r="EA183" s="516">
        <v>0.26136363636363635</v>
      </c>
      <c r="EB183" s="517">
        <v>0.29715762273901808</v>
      </c>
    </row>
    <row r="184" spans="1:132" s="2" customFormat="1" x14ac:dyDescent="0.25">
      <c r="A184" s="551" t="s">
        <v>442</v>
      </c>
      <c r="B184" s="489" t="s">
        <v>443</v>
      </c>
      <c r="C184" s="553"/>
      <c r="D184" s="558">
        <v>1496</v>
      </c>
      <c r="E184" s="559">
        <v>1310</v>
      </c>
      <c r="F184" s="559">
        <v>1203</v>
      </c>
      <c r="G184" s="559">
        <v>223</v>
      </c>
      <c r="H184" s="560">
        <v>214</v>
      </c>
      <c r="I184" s="561">
        <f t="shared" si="250"/>
        <v>0.17022900763358778</v>
      </c>
      <c r="J184" s="562">
        <f t="shared" si="251"/>
        <v>0.1853699085619285</v>
      </c>
      <c r="K184" s="558">
        <v>1523</v>
      </c>
      <c r="L184" s="559">
        <v>1320</v>
      </c>
      <c r="M184" s="559">
        <v>1202</v>
      </c>
      <c r="N184" s="559">
        <v>206</v>
      </c>
      <c r="O184" s="560">
        <v>200</v>
      </c>
      <c r="P184" s="561">
        <f t="shared" si="326"/>
        <v>0.15606060606060607</v>
      </c>
      <c r="Q184" s="562">
        <f t="shared" si="327"/>
        <v>0.17138103161397669</v>
      </c>
      <c r="R184" s="558">
        <v>2974</v>
      </c>
      <c r="S184" s="559">
        <v>1403</v>
      </c>
      <c r="T184" s="559">
        <v>1270</v>
      </c>
      <c r="U184" s="559">
        <v>201</v>
      </c>
      <c r="V184" s="560">
        <v>186</v>
      </c>
      <c r="W184" s="561">
        <f t="shared" si="248"/>
        <v>0.14326443335709194</v>
      </c>
      <c r="X184" s="562">
        <f t="shared" si="249"/>
        <v>0.15826771653543306</v>
      </c>
      <c r="Y184" s="558">
        <v>1557</v>
      </c>
      <c r="Z184" s="559">
        <v>1369</v>
      </c>
      <c r="AA184" s="559">
        <v>1227</v>
      </c>
      <c r="AB184" s="559">
        <v>192</v>
      </c>
      <c r="AC184" s="560">
        <v>182</v>
      </c>
      <c r="AD184" s="561">
        <f t="shared" si="328"/>
        <v>0.14024835646457268</v>
      </c>
      <c r="AE184" s="562">
        <f t="shared" si="329"/>
        <v>0.15647921760391198</v>
      </c>
      <c r="AF184" s="558">
        <v>1674</v>
      </c>
      <c r="AG184" s="559">
        <v>1462</v>
      </c>
      <c r="AH184" s="559">
        <v>1285</v>
      </c>
      <c r="AI184" s="559">
        <v>199</v>
      </c>
      <c r="AJ184" s="560">
        <v>190</v>
      </c>
      <c r="AK184" s="561">
        <f t="shared" si="330"/>
        <v>0.13611491108071136</v>
      </c>
      <c r="AL184" s="562">
        <f t="shared" si="331"/>
        <v>0.15486381322957199</v>
      </c>
      <c r="AM184" s="558">
        <v>1684</v>
      </c>
      <c r="AN184" s="559">
        <v>1462</v>
      </c>
      <c r="AO184" s="559">
        <v>1291</v>
      </c>
      <c r="AP184" s="559">
        <v>204</v>
      </c>
      <c r="AQ184" s="560">
        <v>197</v>
      </c>
      <c r="AR184" s="561">
        <f t="shared" si="332"/>
        <v>0.13953488372093023</v>
      </c>
      <c r="AS184" s="562">
        <f t="shared" si="333"/>
        <v>0.15801704105344694</v>
      </c>
      <c r="AT184" s="558">
        <v>1653</v>
      </c>
      <c r="AU184" s="559">
        <v>1423</v>
      </c>
      <c r="AV184" s="559">
        <v>1259</v>
      </c>
      <c r="AW184" s="559">
        <v>222</v>
      </c>
      <c r="AX184" s="560">
        <v>217</v>
      </c>
      <c r="AY184" s="561">
        <f t="shared" si="334"/>
        <v>0.15600843288826424</v>
      </c>
      <c r="AZ184" s="562">
        <f t="shared" si="335"/>
        <v>0.17633042096902304</v>
      </c>
      <c r="BA184" s="558">
        <v>1415</v>
      </c>
      <c r="BB184" s="559">
        <v>1208</v>
      </c>
      <c r="BC184" s="559">
        <v>1082</v>
      </c>
      <c r="BD184" s="559">
        <v>211</v>
      </c>
      <c r="BE184" s="560">
        <v>206</v>
      </c>
      <c r="BF184" s="561">
        <f t="shared" si="336"/>
        <v>0.17466887417218543</v>
      </c>
      <c r="BG184" s="562">
        <f t="shared" si="337"/>
        <v>0.19500924214417745</v>
      </c>
      <c r="BH184" s="558">
        <v>1477</v>
      </c>
      <c r="BI184" s="559">
        <v>1270</v>
      </c>
      <c r="BJ184" s="559">
        <v>1117</v>
      </c>
      <c r="BK184" s="559">
        <v>223</v>
      </c>
      <c r="BL184" s="560">
        <v>209</v>
      </c>
      <c r="BM184" s="561">
        <f t="shared" si="338"/>
        <v>0.17559055118110237</v>
      </c>
      <c r="BN184" s="562">
        <f t="shared" si="339"/>
        <v>0.19964189794091317</v>
      </c>
      <c r="BO184" s="558">
        <v>1263</v>
      </c>
      <c r="BP184" s="559">
        <v>1084</v>
      </c>
      <c r="BQ184" s="559">
        <v>995</v>
      </c>
      <c r="BR184" s="559">
        <v>184</v>
      </c>
      <c r="BS184" s="560">
        <v>179</v>
      </c>
      <c r="BT184" s="561">
        <f t="shared" si="340"/>
        <v>0.16974169741697417</v>
      </c>
      <c r="BU184" s="562">
        <f t="shared" si="341"/>
        <v>0.18492462311557789</v>
      </c>
      <c r="BV184" s="558">
        <v>1354</v>
      </c>
      <c r="BW184" s="559">
        <v>1137</v>
      </c>
      <c r="BX184" s="559">
        <v>1028</v>
      </c>
      <c r="BY184" s="559">
        <v>222</v>
      </c>
      <c r="BZ184" s="560">
        <v>213</v>
      </c>
      <c r="CA184" s="561">
        <f t="shared" si="342"/>
        <v>0.19525065963060687</v>
      </c>
      <c r="CB184" s="562">
        <f t="shared" si="343"/>
        <v>0.21595330739299612</v>
      </c>
      <c r="CC184" s="558">
        <v>1392</v>
      </c>
      <c r="CD184" s="559">
        <v>1183</v>
      </c>
      <c r="CE184" s="559">
        <v>1085</v>
      </c>
      <c r="CF184" s="559">
        <v>211</v>
      </c>
      <c r="CG184" s="560">
        <v>202</v>
      </c>
      <c r="CH184" s="561">
        <f t="shared" si="344"/>
        <v>0.17836010143702452</v>
      </c>
      <c r="CI184" s="562">
        <f t="shared" si="345"/>
        <v>0.19447004608294932</v>
      </c>
      <c r="CJ184" s="558">
        <v>1402</v>
      </c>
      <c r="CK184" s="559">
        <v>1177</v>
      </c>
      <c r="CL184" s="559">
        <v>1053</v>
      </c>
      <c r="CM184" s="559">
        <v>215</v>
      </c>
      <c r="CN184" s="560">
        <v>195</v>
      </c>
      <c r="CO184" s="561">
        <f t="shared" si="346"/>
        <v>0.1826677994902294</v>
      </c>
      <c r="CP184" s="664">
        <f t="shared" si="347"/>
        <v>0.20417853751187084</v>
      </c>
      <c r="CQ184" s="561">
        <v>0.1826677994902294</v>
      </c>
      <c r="CR184" s="562">
        <v>0.20417853751187084</v>
      </c>
      <c r="CS184" s="558">
        <v>1450</v>
      </c>
      <c r="CT184" s="559">
        <v>1207</v>
      </c>
      <c r="CU184" s="559">
        <v>1021</v>
      </c>
      <c r="CV184" s="559">
        <v>213</v>
      </c>
      <c r="CW184" s="560">
        <v>200</v>
      </c>
      <c r="CX184" s="561">
        <f t="shared" si="348"/>
        <v>0.17647058823529413</v>
      </c>
      <c r="CY184" s="664">
        <f t="shared" si="349"/>
        <v>0.20861900097943192</v>
      </c>
      <c r="CZ184" s="561">
        <v>0.17729908864954433</v>
      </c>
      <c r="DA184" s="562">
        <v>0.20959843290891284</v>
      </c>
      <c r="DB184" s="558">
        <v>1562</v>
      </c>
      <c r="DC184" s="559">
        <v>1290</v>
      </c>
      <c r="DD184" s="559">
        <v>1118</v>
      </c>
      <c r="DE184" s="559">
        <v>246</v>
      </c>
      <c r="DF184" s="560">
        <v>235</v>
      </c>
      <c r="DG184" s="561">
        <f t="shared" si="350"/>
        <v>0.19069767441860466</v>
      </c>
      <c r="DH184" s="664">
        <f t="shared" si="351"/>
        <v>0.22003577817531306</v>
      </c>
      <c r="DI184" s="561">
        <v>0.19224806201550387</v>
      </c>
      <c r="DJ184" s="562">
        <v>0.22182468694096602</v>
      </c>
      <c r="DK184" s="558">
        <v>1546</v>
      </c>
      <c r="DL184" s="559">
        <v>1271</v>
      </c>
      <c r="DM184" s="559">
        <v>1106</v>
      </c>
      <c r="DN184" s="559">
        <v>227</v>
      </c>
      <c r="DO184" s="560">
        <v>210</v>
      </c>
      <c r="DP184" s="561">
        <f t="shared" si="352"/>
        <v>0.17859952793076317</v>
      </c>
      <c r="DQ184" s="664">
        <f t="shared" si="353"/>
        <v>0.20524412296564196</v>
      </c>
      <c r="DR184" s="561">
        <v>0.18095987411487019</v>
      </c>
      <c r="DS184" s="562">
        <v>0.20795660036166366</v>
      </c>
      <c r="DT184" s="558">
        <v>1633</v>
      </c>
      <c r="DU184" s="559">
        <v>1331</v>
      </c>
      <c r="DV184" s="559">
        <v>1190</v>
      </c>
      <c r="DW184" s="559">
        <v>240</v>
      </c>
      <c r="DX184" s="560">
        <v>235</v>
      </c>
      <c r="DY184" s="561">
        <f t="shared" si="354"/>
        <v>0.18031555221637866</v>
      </c>
      <c r="DZ184" s="664">
        <f t="shared" si="355"/>
        <v>0.20168067226890757</v>
      </c>
      <c r="EA184" s="561">
        <v>0.18332081141998496</v>
      </c>
      <c r="EB184" s="562">
        <v>0.20504201680672268</v>
      </c>
    </row>
    <row r="185" spans="1:132" s="2" customFormat="1" x14ac:dyDescent="0.25">
      <c r="A185" s="554" t="s">
        <v>442</v>
      </c>
      <c r="B185" s="497" t="s">
        <v>444</v>
      </c>
      <c r="C185" s="556" t="s">
        <v>445</v>
      </c>
      <c r="D185" s="499">
        <v>288</v>
      </c>
      <c r="E185" s="500">
        <v>276</v>
      </c>
      <c r="F185" s="500">
        <v>241</v>
      </c>
      <c r="G185" s="500">
        <v>95</v>
      </c>
      <c r="H185" s="500">
        <v>88</v>
      </c>
      <c r="I185" s="501">
        <f t="shared" si="250"/>
        <v>0.34420289855072461</v>
      </c>
      <c r="J185" s="502">
        <f t="shared" si="251"/>
        <v>0.39419087136929459</v>
      </c>
      <c r="K185" s="499">
        <v>237</v>
      </c>
      <c r="L185" s="500">
        <v>232</v>
      </c>
      <c r="M185" s="500">
        <v>194</v>
      </c>
      <c r="N185" s="500">
        <v>68</v>
      </c>
      <c r="O185" s="500">
        <v>63</v>
      </c>
      <c r="P185" s="501">
        <f t="shared" si="326"/>
        <v>0.29310344827586204</v>
      </c>
      <c r="Q185" s="502">
        <f t="shared" si="327"/>
        <v>0.35051546391752575</v>
      </c>
      <c r="R185" s="499">
        <v>338</v>
      </c>
      <c r="S185" s="500">
        <v>323</v>
      </c>
      <c r="T185" s="500">
        <v>280</v>
      </c>
      <c r="U185" s="500">
        <v>87</v>
      </c>
      <c r="V185" s="500">
        <v>81</v>
      </c>
      <c r="W185" s="501">
        <f t="shared" si="248"/>
        <v>0.26934984520123839</v>
      </c>
      <c r="X185" s="502">
        <f t="shared" si="249"/>
        <v>0.31071428571428572</v>
      </c>
      <c r="Y185" s="499">
        <v>270</v>
      </c>
      <c r="Z185" s="500">
        <v>265</v>
      </c>
      <c r="AA185" s="500">
        <v>230</v>
      </c>
      <c r="AB185" s="500">
        <v>73</v>
      </c>
      <c r="AC185" s="500">
        <v>66</v>
      </c>
      <c r="AD185" s="501">
        <f t="shared" si="328"/>
        <v>0.27547169811320754</v>
      </c>
      <c r="AE185" s="502">
        <f t="shared" si="329"/>
        <v>0.31739130434782609</v>
      </c>
      <c r="AF185" s="499">
        <v>297</v>
      </c>
      <c r="AG185" s="500">
        <v>288</v>
      </c>
      <c r="AH185" s="500">
        <v>246</v>
      </c>
      <c r="AI185" s="500">
        <v>85</v>
      </c>
      <c r="AJ185" s="500">
        <v>78</v>
      </c>
      <c r="AK185" s="501">
        <f t="shared" si="330"/>
        <v>0.2951388888888889</v>
      </c>
      <c r="AL185" s="502">
        <f t="shared" si="331"/>
        <v>0.34552845528455284</v>
      </c>
      <c r="AM185" s="499">
        <v>292</v>
      </c>
      <c r="AN185" s="500">
        <v>277</v>
      </c>
      <c r="AO185" s="500">
        <v>228</v>
      </c>
      <c r="AP185" s="500">
        <v>84</v>
      </c>
      <c r="AQ185" s="500">
        <v>79</v>
      </c>
      <c r="AR185" s="501">
        <f t="shared" si="332"/>
        <v>0.30324909747292417</v>
      </c>
      <c r="AS185" s="502">
        <f t="shared" si="333"/>
        <v>0.36842105263157893</v>
      </c>
      <c r="AT185" s="499">
        <v>300</v>
      </c>
      <c r="AU185" s="500">
        <v>287</v>
      </c>
      <c r="AV185" s="500">
        <v>239</v>
      </c>
      <c r="AW185" s="500">
        <v>86</v>
      </c>
      <c r="AX185" s="500">
        <v>83</v>
      </c>
      <c r="AY185" s="501">
        <f t="shared" si="334"/>
        <v>0.29965156794425085</v>
      </c>
      <c r="AZ185" s="502">
        <f t="shared" si="335"/>
        <v>0.35983263598326359</v>
      </c>
      <c r="BA185" s="499">
        <v>238</v>
      </c>
      <c r="BB185" s="500">
        <v>226</v>
      </c>
      <c r="BC185" s="500">
        <v>189</v>
      </c>
      <c r="BD185" s="500">
        <v>84</v>
      </c>
      <c r="BE185" s="500">
        <v>80</v>
      </c>
      <c r="BF185" s="501">
        <f t="shared" si="336"/>
        <v>0.37168141592920356</v>
      </c>
      <c r="BG185" s="502">
        <f t="shared" si="337"/>
        <v>0.44444444444444442</v>
      </c>
      <c r="BH185" s="499">
        <v>292</v>
      </c>
      <c r="BI185" s="500">
        <v>278</v>
      </c>
      <c r="BJ185" s="500">
        <v>239</v>
      </c>
      <c r="BK185" s="500">
        <v>83</v>
      </c>
      <c r="BL185" s="500">
        <v>74</v>
      </c>
      <c r="BM185" s="501">
        <f t="shared" si="338"/>
        <v>0.29856115107913667</v>
      </c>
      <c r="BN185" s="502">
        <f t="shared" si="339"/>
        <v>0.34728033472803349</v>
      </c>
      <c r="BO185" s="499">
        <v>223</v>
      </c>
      <c r="BP185" s="500">
        <v>209</v>
      </c>
      <c r="BQ185" s="500">
        <v>179</v>
      </c>
      <c r="BR185" s="500">
        <v>62</v>
      </c>
      <c r="BS185" s="500">
        <v>59</v>
      </c>
      <c r="BT185" s="501">
        <f t="shared" si="340"/>
        <v>0.29665071770334928</v>
      </c>
      <c r="BU185" s="502">
        <f t="shared" si="341"/>
        <v>0.34636871508379891</v>
      </c>
      <c r="BV185" s="499">
        <v>268</v>
      </c>
      <c r="BW185" s="500">
        <v>254</v>
      </c>
      <c r="BX185" s="500">
        <v>220</v>
      </c>
      <c r="BY185" s="500">
        <v>86</v>
      </c>
      <c r="BZ185" s="500">
        <v>81</v>
      </c>
      <c r="CA185" s="501">
        <f t="shared" si="342"/>
        <v>0.33858267716535434</v>
      </c>
      <c r="CB185" s="502">
        <f t="shared" si="343"/>
        <v>0.39090909090909093</v>
      </c>
      <c r="CC185" s="499">
        <v>258</v>
      </c>
      <c r="CD185" s="500">
        <v>248</v>
      </c>
      <c r="CE185" s="500">
        <v>227</v>
      </c>
      <c r="CF185" s="500">
        <v>75</v>
      </c>
      <c r="CG185" s="500">
        <v>72</v>
      </c>
      <c r="CH185" s="501">
        <f t="shared" si="344"/>
        <v>0.30241935483870969</v>
      </c>
      <c r="CI185" s="502">
        <f t="shared" si="345"/>
        <v>0.33039647577092512</v>
      </c>
      <c r="CJ185" s="499">
        <v>255</v>
      </c>
      <c r="CK185" s="500">
        <v>244</v>
      </c>
      <c r="CL185" s="500">
        <v>221</v>
      </c>
      <c r="CM185" s="500">
        <v>90</v>
      </c>
      <c r="CN185" s="500">
        <v>80</v>
      </c>
      <c r="CO185" s="501">
        <f t="shared" si="346"/>
        <v>0.36885245901639346</v>
      </c>
      <c r="CP185" s="501">
        <f t="shared" si="347"/>
        <v>0.40723981900452488</v>
      </c>
      <c r="CQ185" s="501">
        <v>0.36885245901639346</v>
      </c>
      <c r="CR185" s="502">
        <v>0.40723981900452488</v>
      </c>
      <c r="CS185" s="499">
        <v>244</v>
      </c>
      <c r="CT185" s="500">
        <v>234</v>
      </c>
      <c r="CU185" s="500">
        <v>202</v>
      </c>
      <c r="CV185" s="500">
        <v>78</v>
      </c>
      <c r="CW185" s="500">
        <v>67</v>
      </c>
      <c r="CX185" s="501">
        <f t="shared" si="348"/>
        <v>0.33333333333333331</v>
      </c>
      <c r="CY185" s="501">
        <f t="shared" si="349"/>
        <v>0.38613861386138615</v>
      </c>
      <c r="CZ185" s="501">
        <v>0.33333333333333331</v>
      </c>
      <c r="DA185" s="502">
        <v>0.38613861386138615</v>
      </c>
      <c r="DB185" s="499">
        <v>327</v>
      </c>
      <c r="DC185" s="500">
        <v>302</v>
      </c>
      <c r="DD185" s="500">
        <v>270</v>
      </c>
      <c r="DE185" s="500">
        <v>108</v>
      </c>
      <c r="DF185" s="500">
        <v>101</v>
      </c>
      <c r="DG185" s="501">
        <f t="shared" si="350"/>
        <v>0.35761589403973509</v>
      </c>
      <c r="DH185" s="501">
        <f t="shared" si="351"/>
        <v>0.4</v>
      </c>
      <c r="DI185" s="501">
        <v>0.36423841059602646</v>
      </c>
      <c r="DJ185" s="502">
        <v>0.40740740740740738</v>
      </c>
      <c r="DK185" s="499">
        <v>247</v>
      </c>
      <c r="DL185" s="500">
        <v>231</v>
      </c>
      <c r="DM185" s="500">
        <v>200</v>
      </c>
      <c r="DN185" s="500">
        <v>81</v>
      </c>
      <c r="DO185" s="500">
        <v>72</v>
      </c>
      <c r="DP185" s="501">
        <f t="shared" si="352"/>
        <v>0.35064935064935066</v>
      </c>
      <c r="DQ185" s="501">
        <f t="shared" si="353"/>
        <v>0.40500000000000003</v>
      </c>
      <c r="DR185" s="501">
        <v>0.36796536796536794</v>
      </c>
      <c r="DS185" s="502">
        <v>0.42499999999999999</v>
      </c>
      <c r="DT185" s="499">
        <v>268</v>
      </c>
      <c r="DU185" s="500">
        <v>243</v>
      </c>
      <c r="DV185" s="500">
        <v>224</v>
      </c>
      <c r="DW185" s="500">
        <v>99</v>
      </c>
      <c r="DX185" s="500">
        <v>94</v>
      </c>
      <c r="DY185" s="501">
        <f t="shared" si="354"/>
        <v>0.40740740740740738</v>
      </c>
      <c r="DZ185" s="501">
        <f t="shared" si="355"/>
        <v>0.4419642857142857</v>
      </c>
      <c r="EA185" s="501">
        <v>0.41563786008230452</v>
      </c>
      <c r="EB185" s="502">
        <v>0.45089285714285715</v>
      </c>
    </row>
    <row r="186" spans="1:132" s="2" customFormat="1" x14ac:dyDescent="0.25">
      <c r="A186" s="503" t="s">
        <v>442</v>
      </c>
      <c r="B186" s="504" t="s">
        <v>446</v>
      </c>
      <c r="C186" s="505" t="s">
        <v>447</v>
      </c>
      <c r="D186" s="506">
        <v>727</v>
      </c>
      <c r="E186" s="507">
        <v>603</v>
      </c>
      <c r="F186" s="507">
        <v>531</v>
      </c>
      <c r="G186" s="507">
        <v>63</v>
      </c>
      <c r="H186" s="507">
        <v>63</v>
      </c>
      <c r="I186" s="508">
        <f t="shared" si="250"/>
        <v>0.1044776119402985</v>
      </c>
      <c r="J186" s="509">
        <f t="shared" si="251"/>
        <v>0.11864406779661017</v>
      </c>
      <c r="K186" s="506">
        <v>802</v>
      </c>
      <c r="L186" s="507">
        <v>655</v>
      </c>
      <c r="M186" s="507">
        <v>583</v>
      </c>
      <c r="N186" s="507">
        <v>74</v>
      </c>
      <c r="O186" s="507">
        <v>74</v>
      </c>
      <c r="P186" s="508">
        <f t="shared" si="326"/>
        <v>0.11297709923664122</v>
      </c>
      <c r="Q186" s="509">
        <f t="shared" si="327"/>
        <v>0.12692967409948541</v>
      </c>
      <c r="R186" s="506">
        <v>793</v>
      </c>
      <c r="S186" s="507">
        <v>652</v>
      </c>
      <c r="T186" s="507">
        <v>567</v>
      </c>
      <c r="U186" s="507">
        <v>58</v>
      </c>
      <c r="V186" s="507">
        <v>56</v>
      </c>
      <c r="W186" s="508">
        <f t="shared" si="248"/>
        <v>8.8957055214723926E-2</v>
      </c>
      <c r="X186" s="509">
        <f t="shared" si="249"/>
        <v>0.10229276895943562</v>
      </c>
      <c r="Y186" s="506">
        <v>765</v>
      </c>
      <c r="Z186" s="507">
        <v>645</v>
      </c>
      <c r="AA186" s="507">
        <v>530</v>
      </c>
      <c r="AB186" s="507">
        <v>61</v>
      </c>
      <c r="AC186" s="507">
        <v>60</v>
      </c>
      <c r="AD186" s="508">
        <f t="shared" si="328"/>
        <v>9.4573643410852712E-2</v>
      </c>
      <c r="AE186" s="509">
        <f t="shared" si="329"/>
        <v>0.11509433962264151</v>
      </c>
      <c r="AF186" s="506">
        <v>799</v>
      </c>
      <c r="AG186" s="507">
        <v>678</v>
      </c>
      <c r="AH186" s="507">
        <v>580</v>
      </c>
      <c r="AI186" s="507">
        <v>55</v>
      </c>
      <c r="AJ186" s="507">
        <v>54</v>
      </c>
      <c r="AK186" s="508">
        <f t="shared" si="330"/>
        <v>8.1120943952802366E-2</v>
      </c>
      <c r="AL186" s="509">
        <f t="shared" si="331"/>
        <v>9.4827586206896547E-2</v>
      </c>
      <c r="AM186" s="506">
        <v>845</v>
      </c>
      <c r="AN186" s="507">
        <v>719</v>
      </c>
      <c r="AO186" s="507">
        <v>619</v>
      </c>
      <c r="AP186" s="507">
        <v>70</v>
      </c>
      <c r="AQ186" s="507">
        <v>67</v>
      </c>
      <c r="AR186" s="508">
        <f t="shared" si="332"/>
        <v>9.7357440890125171E-2</v>
      </c>
      <c r="AS186" s="509">
        <f t="shared" si="333"/>
        <v>0.11308562197092084</v>
      </c>
      <c r="AT186" s="506">
        <v>786</v>
      </c>
      <c r="AU186" s="507">
        <v>655</v>
      </c>
      <c r="AV186" s="507">
        <v>562</v>
      </c>
      <c r="AW186" s="507">
        <v>78</v>
      </c>
      <c r="AX186" s="507">
        <v>76</v>
      </c>
      <c r="AY186" s="508">
        <f t="shared" si="334"/>
        <v>0.11908396946564885</v>
      </c>
      <c r="AZ186" s="509">
        <f t="shared" si="335"/>
        <v>0.13879003558718861</v>
      </c>
      <c r="BA186" s="506">
        <v>711</v>
      </c>
      <c r="BB186" s="507">
        <v>590</v>
      </c>
      <c r="BC186" s="507">
        <v>500</v>
      </c>
      <c r="BD186" s="507">
        <v>72</v>
      </c>
      <c r="BE186" s="507">
        <v>71</v>
      </c>
      <c r="BF186" s="508">
        <f t="shared" si="336"/>
        <v>0.12203389830508475</v>
      </c>
      <c r="BG186" s="509">
        <f t="shared" si="337"/>
        <v>0.14399999999999999</v>
      </c>
      <c r="BH186" s="506">
        <v>703</v>
      </c>
      <c r="BI186" s="507">
        <v>575</v>
      </c>
      <c r="BJ186" s="507">
        <v>496</v>
      </c>
      <c r="BK186" s="507">
        <v>73</v>
      </c>
      <c r="BL186" s="507">
        <v>68</v>
      </c>
      <c r="BM186" s="508">
        <f t="shared" si="338"/>
        <v>0.12695652173913044</v>
      </c>
      <c r="BN186" s="509">
        <f t="shared" si="339"/>
        <v>0.14717741935483872</v>
      </c>
      <c r="BO186" s="506">
        <v>576</v>
      </c>
      <c r="BP186" s="507">
        <v>473</v>
      </c>
      <c r="BQ186" s="507">
        <v>418</v>
      </c>
      <c r="BR186" s="507">
        <v>61</v>
      </c>
      <c r="BS186" s="507">
        <v>60</v>
      </c>
      <c r="BT186" s="508">
        <f t="shared" si="340"/>
        <v>0.12896405919661733</v>
      </c>
      <c r="BU186" s="509">
        <f t="shared" si="341"/>
        <v>0.145933014354067</v>
      </c>
      <c r="BV186" s="506">
        <v>676</v>
      </c>
      <c r="BW186" s="507">
        <v>546</v>
      </c>
      <c r="BX186" s="507">
        <v>470</v>
      </c>
      <c r="BY186" s="507">
        <v>80</v>
      </c>
      <c r="BZ186" s="507">
        <v>77</v>
      </c>
      <c r="CA186" s="508">
        <f t="shared" si="342"/>
        <v>0.14652014652014653</v>
      </c>
      <c r="CB186" s="509">
        <f t="shared" si="343"/>
        <v>0.1702127659574468</v>
      </c>
      <c r="CC186" s="506">
        <v>697</v>
      </c>
      <c r="CD186" s="507">
        <v>563</v>
      </c>
      <c r="CE186" s="507">
        <v>483</v>
      </c>
      <c r="CF186" s="507">
        <v>75</v>
      </c>
      <c r="CG186" s="507">
        <v>73</v>
      </c>
      <c r="CH186" s="508">
        <f t="shared" si="344"/>
        <v>0.13321492007104796</v>
      </c>
      <c r="CI186" s="509">
        <f t="shared" si="345"/>
        <v>0.15527950310559005</v>
      </c>
      <c r="CJ186" s="506">
        <v>581</v>
      </c>
      <c r="CK186" s="507">
        <v>456</v>
      </c>
      <c r="CL186" s="507">
        <v>412</v>
      </c>
      <c r="CM186" s="507">
        <v>60</v>
      </c>
      <c r="CN186" s="507">
        <v>55</v>
      </c>
      <c r="CO186" s="508">
        <f t="shared" si="346"/>
        <v>0.13157894736842105</v>
      </c>
      <c r="CP186" s="508">
        <f t="shared" si="347"/>
        <v>0.14563106796116504</v>
      </c>
      <c r="CQ186" s="508">
        <v>0.13157894736842105</v>
      </c>
      <c r="CR186" s="509">
        <v>0.14563106796116504</v>
      </c>
      <c r="CS186" s="506">
        <v>649</v>
      </c>
      <c r="CT186" s="507">
        <v>518</v>
      </c>
      <c r="CU186" s="507">
        <v>425</v>
      </c>
      <c r="CV186" s="507">
        <v>71</v>
      </c>
      <c r="CW186" s="507">
        <v>70</v>
      </c>
      <c r="CX186" s="508">
        <f t="shared" si="348"/>
        <v>0.13706563706563707</v>
      </c>
      <c r="CY186" s="508">
        <f t="shared" si="349"/>
        <v>0.16705882352941176</v>
      </c>
      <c r="CZ186" s="508">
        <v>0.138996138996139</v>
      </c>
      <c r="DA186" s="509">
        <v>0.16941176470588235</v>
      </c>
      <c r="DB186" s="506">
        <v>681</v>
      </c>
      <c r="DC186" s="507">
        <v>538</v>
      </c>
      <c r="DD186" s="507">
        <v>456</v>
      </c>
      <c r="DE186" s="507">
        <v>79</v>
      </c>
      <c r="DF186" s="507">
        <v>75</v>
      </c>
      <c r="DG186" s="508">
        <f t="shared" si="350"/>
        <v>0.14684014869888476</v>
      </c>
      <c r="DH186" s="508">
        <f t="shared" si="351"/>
        <v>0.17324561403508773</v>
      </c>
      <c r="DI186" s="508">
        <v>0.14869888475836432</v>
      </c>
      <c r="DJ186" s="509">
        <v>0.17543859649122806</v>
      </c>
      <c r="DK186" s="506">
        <v>725</v>
      </c>
      <c r="DL186" s="507">
        <v>569</v>
      </c>
      <c r="DM186" s="507">
        <v>499</v>
      </c>
      <c r="DN186" s="507">
        <v>76</v>
      </c>
      <c r="DO186" s="507">
        <v>73</v>
      </c>
      <c r="DP186" s="508">
        <f t="shared" si="352"/>
        <v>0.1335676625659051</v>
      </c>
      <c r="DQ186" s="508">
        <f t="shared" si="353"/>
        <v>0.15230460921843689</v>
      </c>
      <c r="DR186" s="508">
        <v>0.13532513181019332</v>
      </c>
      <c r="DS186" s="509">
        <v>0.15430861723446893</v>
      </c>
      <c r="DT186" s="506">
        <v>775</v>
      </c>
      <c r="DU186" s="507">
        <v>605</v>
      </c>
      <c r="DV186" s="507">
        <v>528</v>
      </c>
      <c r="DW186" s="507">
        <v>75</v>
      </c>
      <c r="DX186" s="507">
        <v>75</v>
      </c>
      <c r="DY186" s="508">
        <f t="shared" si="354"/>
        <v>0.12396694214876033</v>
      </c>
      <c r="DZ186" s="508">
        <f t="shared" si="355"/>
        <v>0.14204545454545456</v>
      </c>
      <c r="EA186" s="508">
        <v>0.12727272727272726</v>
      </c>
      <c r="EB186" s="509">
        <v>0.14583333333333334</v>
      </c>
    </row>
    <row r="187" spans="1:132" s="2" customFormat="1" x14ac:dyDescent="0.25">
      <c r="A187" s="511" t="s">
        <v>442</v>
      </c>
      <c r="B187" s="512" t="s">
        <v>448</v>
      </c>
      <c r="C187" s="513" t="s">
        <v>449</v>
      </c>
      <c r="D187" s="514">
        <v>481</v>
      </c>
      <c r="E187" s="515">
        <v>468</v>
      </c>
      <c r="F187" s="515">
        <v>461</v>
      </c>
      <c r="G187" s="515">
        <v>65</v>
      </c>
      <c r="H187" s="515">
        <v>63</v>
      </c>
      <c r="I187" s="516">
        <f t="shared" si="250"/>
        <v>0.1388888888888889</v>
      </c>
      <c r="J187" s="517">
        <f t="shared" si="251"/>
        <v>0.14099783080260303</v>
      </c>
      <c r="K187" s="514">
        <v>484</v>
      </c>
      <c r="L187" s="515">
        <v>462</v>
      </c>
      <c r="M187" s="515">
        <v>449</v>
      </c>
      <c r="N187" s="515">
        <v>64</v>
      </c>
      <c r="O187" s="515">
        <v>63</v>
      </c>
      <c r="P187" s="516">
        <f t="shared" si="326"/>
        <v>0.13852813852813853</v>
      </c>
      <c r="Q187" s="517">
        <f t="shared" si="327"/>
        <v>0.14253897550111358</v>
      </c>
      <c r="R187" s="514">
        <v>475</v>
      </c>
      <c r="S187" s="515">
        <v>464</v>
      </c>
      <c r="T187" s="515">
        <v>452</v>
      </c>
      <c r="U187" s="515">
        <v>56</v>
      </c>
      <c r="V187" s="515">
        <v>49</v>
      </c>
      <c r="W187" s="516">
        <f t="shared" si="248"/>
        <v>0.1206896551724138</v>
      </c>
      <c r="X187" s="517">
        <f t="shared" si="249"/>
        <v>0.12389380530973451</v>
      </c>
      <c r="Y187" s="514">
        <v>522</v>
      </c>
      <c r="Z187" s="515">
        <v>505</v>
      </c>
      <c r="AA187" s="515">
        <v>496</v>
      </c>
      <c r="AB187" s="515">
        <v>58</v>
      </c>
      <c r="AC187" s="515">
        <v>56</v>
      </c>
      <c r="AD187" s="516">
        <f t="shared" si="328"/>
        <v>0.11485148514851486</v>
      </c>
      <c r="AE187" s="517">
        <f t="shared" si="329"/>
        <v>0.11693548387096774</v>
      </c>
      <c r="AF187" s="514">
        <v>578</v>
      </c>
      <c r="AG187" s="515">
        <v>538</v>
      </c>
      <c r="AH187" s="515">
        <v>494</v>
      </c>
      <c r="AI187" s="515">
        <v>60</v>
      </c>
      <c r="AJ187" s="515">
        <v>58</v>
      </c>
      <c r="AK187" s="516">
        <f t="shared" si="330"/>
        <v>0.11152416356877323</v>
      </c>
      <c r="AL187" s="517">
        <f t="shared" si="331"/>
        <v>0.1214574898785425</v>
      </c>
      <c r="AM187" s="514">
        <v>547</v>
      </c>
      <c r="AN187" s="515">
        <v>507</v>
      </c>
      <c r="AO187" s="515">
        <v>477</v>
      </c>
      <c r="AP187" s="515">
        <v>51</v>
      </c>
      <c r="AQ187" s="515">
        <v>51</v>
      </c>
      <c r="AR187" s="516">
        <f t="shared" si="332"/>
        <v>0.10059171597633136</v>
      </c>
      <c r="AS187" s="517">
        <f t="shared" si="333"/>
        <v>0.1069182389937107</v>
      </c>
      <c r="AT187" s="514">
        <v>567</v>
      </c>
      <c r="AU187" s="515">
        <v>535</v>
      </c>
      <c r="AV187" s="515">
        <v>498</v>
      </c>
      <c r="AW187" s="515">
        <v>58</v>
      </c>
      <c r="AX187" s="515">
        <v>58</v>
      </c>
      <c r="AY187" s="516">
        <f t="shared" si="334"/>
        <v>0.10841121495327102</v>
      </c>
      <c r="AZ187" s="517">
        <f t="shared" si="335"/>
        <v>0.11646586345381527</v>
      </c>
      <c r="BA187" s="514">
        <v>466</v>
      </c>
      <c r="BB187" s="515">
        <v>440</v>
      </c>
      <c r="BC187" s="515">
        <v>427</v>
      </c>
      <c r="BD187" s="515">
        <v>55</v>
      </c>
      <c r="BE187" s="515">
        <v>55</v>
      </c>
      <c r="BF187" s="516">
        <f t="shared" si="336"/>
        <v>0.125</v>
      </c>
      <c r="BG187" s="517">
        <f t="shared" si="337"/>
        <v>0.1288056206088993</v>
      </c>
      <c r="BH187" s="514">
        <v>482</v>
      </c>
      <c r="BI187" s="515">
        <v>457</v>
      </c>
      <c r="BJ187" s="515">
        <v>413</v>
      </c>
      <c r="BK187" s="515">
        <v>67</v>
      </c>
      <c r="BL187" s="515">
        <v>67</v>
      </c>
      <c r="BM187" s="516">
        <f t="shared" si="338"/>
        <v>0.14660831509846828</v>
      </c>
      <c r="BN187" s="517">
        <f t="shared" si="339"/>
        <v>0.16222760290556901</v>
      </c>
      <c r="BO187" s="514">
        <v>464</v>
      </c>
      <c r="BP187" s="515">
        <v>438</v>
      </c>
      <c r="BQ187" s="515">
        <v>426</v>
      </c>
      <c r="BR187" s="515">
        <v>61</v>
      </c>
      <c r="BS187" s="515">
        <v>60</v>
      </c>
      <c r="BT187" s="516">
        <f t="shared" si="340"/>
        <v>0.13926940639269406</v>
      </c>
      <c r="BU187" s="517">
        <f t="shared" si="341"/>
        <v>0.14319248826291081</v>
      </c>
      <c r="BV187" s="514">
        <v>410</v>
      </c>
      <c r="BW187" s="515">
        <v>381</v>
      </c>
      <c r="BX187" s="515">
        <v>374</v>
      </c>
      <c r="BY187" s="515">
        <v>56</v>
      </c>
      <c r="BZ187" s="515">
        <v>55</v>
      </c>
      <c r="CA187" s="516">
        <f t="shared" si="342"/>
        <v>0.14698162729658792</v>
      </c>
      <c r="CB187" s="517">
        <f t="shared" si="343"/>
        <v>0.1497326203208556</v>
      </c>
      <c r="CC187" s="514">
        <v>437</v>
      </c>
      <c r="CD187" s="515">
        <v>410</v>
      </c>
      <c r="CE187" s="515">
        <v>405</v>
      </c>
      <c r="CF187" s="515">
        <v>61</v>
      </c>
      <c r="CG187" s="515">
        <v>57</v>
      </c>
      <c r="CH187" s="516">
        <f t="shared" si="344"/>
        <v>0.14878048780487804</v>
      </c>
      <c r="CI187" s="517">
        <f t="shared" si="345"/>
        <v>0.1506172839506173</v>
      </c>
      <c r="CJ187" s="514">
        <v>566</v>
      </c>
      <c r="CK187" s="515">
        <v>517</v>
      </c>
      <c r="CL187" s="515">
        <v>448</v>
      </c>
      <c r="CM187" s="515">
        <v>66</v>
      </c>
      <c r="CN187" s="515">
        <v>61</v>
      </c>
      <c r="CO187" s="516">
        <f t="shared" si="346"/>
        <v>0.1276595744680851</v>
      </c>
      <c r="CP187" s="516">
        <f t="shared" si="347"/>
        <v>0.14732142857142858</v>
      </c>
      <c r="CQ187" s="516">
        <v>0.1276595744680851</v>
      </c>
      <c r="CR187" s="517">
        <v>0.14732142857142858</v>
      </c>
      <c r="CS187" s="514">
        <v>557</v>
      </c>
      <c r="CT187" s="515">
        <v>506</v>
      </c>
      <c r="CU187" s="515">
        <v>431</v>
      </c>
      <c r="CV187" s="515">
        <v>66</v>
      </c>
      <c r="CW187" s="515">
        <v>63</v>
      </c>
      <c r="CX187" s="516">
        <f t="shared" si="348"/>
        <v>0.13043478260869565</v>
      </c>
      <c r="CY187" s="516">
        <f t="shared" si="349"/>
        <v>0.1531322505800464</v>
      </c>
      <c r="CZ187" s="516">
        <v>0.13043478260869565</v>
      </c>
      <c r="DA187" s="517">
        <v>0.1531322505800464</v>
      </c>
      <c r="DB187" s="514">
        <v>554</v>
      </c>
      <c r="DC187" s="515">
        <v>505</v>
      </c>
      <c r="DD187" s="515">
        <v>433</v>
      </c>
      <c r="DE187" s="515">
        <v>61</v>
      </c>
      <c r="DF187" s="515">
        <v>59</v>
      </c>
      <c r="DG187" s="516">
        <f t="shared" si="350"/>
        <v>0.12079207920792079</v>
      </c>
      <c r="DH187" s="516">
        <f t="shared" si="351"/>
        <v>0.14087759815242495</v>
      </c>
      <c r="DI187" s="516">
        <v>0.12079207920792079</v>
      </c>
      <c r="DJ187" s="517">
        <v>0.14087759815242495</v>
      </c>
      <c r="DK187" s="514">
        <v>574</v>
      </c>
      <c r="DL187" s="515">
        <v>524</v>
      </c>
      <c r="DM187" s="515">
        <v>452</v>
      </c>
      <c r="DN187" s="515">
        <v>70</v>
      </c>
      <c r="DO187" s="515">
        <v>65</v>
      </c>
      <c r="DP187" s="516">
        <f t="shared" si="352"/>
        <v>0.13358778625954199</v>
      </c>
      <c r="DQ187" s="516">
        <f t="shared" si="353"/>
        <v>0.15486725663716813</v>
      </c>
      <c r="DR187" s="516">
        <v>0.13358778625954199</v>
      </c>
      <c r="DS187" s="517">
        <v>0.15486725663716813</v>
      </c>
      <c r="DT187" s="514">
        <v>590</v>
      </c>
      <c r="DU187" s="515">
        <v>546</v>
      </c>
      <c r="DV187" s="515">
        <v>486</v>
      </c>
      <c r="DW187" s="515">
        <v>66</v>
      </c>
      <c r="DX187" s="515">
        <v>66</v>
      </c>
      <c r="DY187" s="516">
        <f t="shared" si="354"/>
        <v>0.12087912087912088</v>
      </c>
      <c r="DZ187" s="516">
        <f t="shared" si="355"/>
        <v>0.13580246913580246</v>
      </c>
      <c r="EA187" s="516">
        <v>0.12087912087912088</v>
      </c>
      <c r="EB187" s="517">
        <v>0.13580246913580246</v>
      </c>
    </row>
    <row r="188" spans="1:132" s="2" customFormat="1" x14ac:dyDescent="0.25">
      <c r="A188" s="533" t="s">
        <v>450</v>
      </c>
      <c r="B188" s="489" t="s">
        <v>451</v>
      </c>
      <c r="C188" s="573"/>
      <c r="D188" s="558">
        <v>516</v>
      </c>
      <c r="E188" s="559">
        <v>404</v>
      </c>
      <c r="F188" s="559">
        <v>404</v>
      </c>
      <c r="G188" s="559">
        <v>51</v>
      </c>
      <c r="H188" s="560">
        <v>50</v>
      </c>
      <c r="I188" s="561">
        <f t="shared" si="250"/>
        <v>0.12623762376237624</v>
      </c>
      <c r="J188" s="562">
        <f t="shared" si="251"/>
        <v>0.12623762376237624</v>
      </c>
      <c r="K188" s="558">
        <v>494</v>
      </c>
      <c r="L188" s="559">
        <v>363</v>
      </c>
      <c r="M188" s="559">
        <v>309</v>
      </c>
      <c r="N188" s="559">
        <v>50</v>
      </c>
      <c r="O188" s="560">
        <v>50</v>
      </c>
      <c r="P188" s="561">
        <f t="shared" si="326"/>
        <v>0.13774104683195593</v>
      </c>
      <c r="Q188" s="562">
        <f t="shared" si="327"/>
        <v>0.16181229773462782</v>
      </c>
      <c r="R188" s="558">
        <v>488</v>
      </c>
      <c r="S188" s="559">
        <v>303</v>
      </c>
      <c r="T188" s="559">
        <v>265</v>
      </c>
      <c r="U188" s="559">
        <v>47</v>
      </c>
      <c r="V188" s="560">
        <v>46</v>
      </c>
      <c r="W188" s="561">
        <f t="shared" si="248"/>
        <v>0.15511551155115511</v>
      </c>
      <c r="X188" s="562">
        <f t="shared" si="249"/>
        <v>0.17735849056603772</v>
      </c>
      <c r="Y188" s="558">
        <v>545</v>
      </c>
      <c r="Z188" s="559">
        <v>343</v>
      </c>
      <c r="AA188" s="559">
        <v>309</v>
      </c>
      <c r="AB188" s="559">
        <v>53</v>
      </c>
      <c r="AC188" s="560">
        <v>51</v>
      </c>
      <c r="AD188" s="561">
        <f t="shared" si="328"/>
        <v>0.15451895043731778</v>
      </c>
      <c r="AE188" s="562">
        <f t="shared" si="329"/>
        <v>0.17152103559870549</v>
      </c>
      <c r="AF188" s="558">
        <v>575</v>
      </c>
      <c r="AG188" s="559">
        <v>346</v>
      </c>
      <c r="AH188" s="559">
        <v>307</v>
      </c>
      <c r="AI188" s="559">
        <v>64</v>
      </c>
      <c r="AJ188" s="560">
        <v>58</v>
      </c>
      <c r="AK188" s="561">
        <f t="shared" si="330"/>
        <v>0.18497109826589594</v>
      </c>
      <c r="AL188" s="562">
        <f t="shared" si="331"/>
        <v>0.20846905537459284</v>
      </c>
      <c r="AM188" s="558">
        <v>541</v>
      </c>
      <c r="AN188" s="559">
        <v>324</v>
      </c>
      <c r="AO188" s="559">
        <v>286</v>
      </c>
      <c r="AP188" s="559">
        <v>50</v>
      </c>
      <c r="AQ188" s="560">
        <v>49</v>
      </c>
      <c r="AR188" s="561">
        <f t="shared" si="332"/>
        <v>0.15432098765432098</v>
      </c>
      <c r="AS188" s="562">
        <f t="shared" si="333"/>
        <v>0.17482517482517482</v>
      </c>
      <c r="AT188" s="558">
        <v>382</v>
      </c>
      <c r="AU188" s="559">
        <v>283</v>
      </c>
      <c r="AV188" s="559">
        <v>278</v>
      </c>
      <c r="AW188" s="559">
        <v>42</v>
      </c>
      <c r="AX188" s="560">
        <v>42</v>
      </c>
      <c r="AY188" s="561">
        <f t="shared" si="334"/>
        <v>0.14840989399293286</v>
      </c>
      <c r="AZ188" s="562">
        <f t="shared" si="335"/>
        <v>0.15107913669064749</v>
      </c>
      <c r="BA188" s="558">
        <v>403</v>
      </c>
      <c r="BB188" s="559">
        <v>294</v>
      </c>
      <c r="BC188" s="559">
        <v>268</v>
      </c>
      <c r="BD188" s="559">
        <v>44</v>
      </c>
      <c r="BE188" s="560">
        <v>43</v>
      </c>
      <c r="BF188" s="561">
        <f t="shared" si="336"/>
        <v>0.14965986394557823</v>
      </c>
      <c r="BG188" s="562">
        <f t="shared" si="337"/>
        <v>0.16417910447761194</v>
      </c>
      <c r="BH188" s="558">
        <v>305</v>
      </c>
      <c r="BI188" s="559">
        <v>228</v>
      </c>
      <c r="BJ188" s="559">
        <v>195</v>
      </c>
      <c r="BK188" s="559">
        <v>33</v>
      </c>
      <c r="BL188" s="560">
        <v>32</v>
      </c>
      <c r="BM188" s="561">
        <f t="shared" si="338"/>
        <v>0.14473684210526316</v>
      </c>
      <c r="BN188" s="562">
        <f t="shared" si="339"/>
        <v>0.16923076923076924</v>
      </c>
      <c r="BO188" s="558">
        <v>334</v>
      </c>
      <c r="BP188" s="559">
        <v>252</v>
      </c>
      <c r="BQ188" s="559">
        <v>252</v>
      </c>
      <c r="BR188" s="559">
        <v>43</v>
      </c>
      <c r="BS188" s="560">
        <v>42</v>
      </c>
      <c r="BT188" s="561">
        <f t="shared" si="340"/>
        <v>0.17063492063492064</v>
      </c>
      <c r="BU188" s="562">
        <f t="shared" si="341"/>
        <v>0.17063492063492064</v>
      </c>
      <c r="BV188" s="558">
        <v>329</v>
      </c>
      <c r="BW188" s="559">
        <v>235</v>
      </c>
      <c r="BX188" s="559">
        <v>214</v>
      </c>
      <c r="BY188" s="559">
        <v>38</v>
      </c>
      <c r="BZ188" s="560">
        <v>37</v>
      </c>
      <c r="CA188" s="561">
        <f t="shared" si="342"/>
        <v>0.16170212765957448</v>
      </c>
      <c r="CB188" s="562">
        <f t="shared" si="343"/>
        <v>0.17757009345794392</v>
      </c>
      <c r="CC188" s="558">
        <v>372</v>
      </c>
      <c r="CD188" s="559">
        <v>266</v>
      </c>
      <c r="CE188" s="559">
        <v>234</v>
      </c>
      <c r="CF188" s="559">
        <v>45</v>
      </c>
      <c r="CG188" s="560">
        <v>41</v>
      </c>
      <c r="CH188" s="561">
        <f t="shared" si="344"/>
        <v>0.16917293233082706</v>
      </c>
      <c r="CI188" s="562">
        <f t="shared" si="345"/>
        <v>0.19230769230769232</v>
      </c>
      <c r="CJ188" s="558">
        <v>383</v>
      </c>
      <c r="CK188" s="559">
        <v>272</v>
      </c>
      <c r="CL188" s="559">
        <v>258</v>
      </c>
      <c r="CM188" s="559">
        <v>50</v>
      </c>
      <c r="CN188" s="560">
        <v>47</v>
      </c>
      <c r="CO188" s="561">
        <f t="shared" si="346"/>
        <v>0.18382352941176472</v>
      </c>
      <c r="CP188" s="664">
        <f t="shared" si="347"/>
        <v>0.19379844961240311</v>
      </c>
      <c r="CQ188" s="561">
        <v>0.18382352941176472</v>
      </c>
      <c r="CR188" s="562">
        <v>0.19379844961240311</v>
      </c>
      <c r="CS188" s="558">
        <v>428</v>
      </c>
      <c r="CT188" s="559">
        <v>304</v>
      </c>
      <c r="CU188" s="559">
        <v>277</v>
      </c>
      <c r="CV188" s="559">
        <v>48</v>
      </c>
      <c r="CW188" s="560">
        <v>46</v>
      </c>
      <c r="CX188" s="561">
        <f t="shared" si="348"/>
        <v>0.15789473684210525</v>
      </c>
      <c r="CY188" s="664">
        <f t="shared" si="349"/>
        <v>0.17328519855595667</v>
      </c>
      <c r="CZ188" s="561">
        <v>0.15789473684210525</v>
      </c>
      <c r="DA188" s="562">
        <v>0.17328519855595667</v>
      </c>
      <c r="DB188" s="558">
        <v>526</v>
      </c>
      <c r="DC188" s="559">
        <v>346</v>
      </c>
      <c r="DD188" s="559">
        <v>344</v>
      </c>
      <c r="DE188" s="559">
        <v>48</v>
      </c>
      <c r="DF188" s="560">
        <v>47</v>
      </c>
      <c r="DG188" s="561">
        <f t="shared" si="350"/>
        <v>0.13872832369942195</v>
      </c>
      <c r="DH188" s="664">
        <f t="shared" si="351"/>
        <v>0.13953488372093023</v>
      </c>
      <c r="DI188" s="561">
        <v>0.13872832369942195</v>
      </c>
      <c r="DJ188" s="562">
        <v>0.13953488372093023</v>
      </c>
      <c r="DK188" s="558">
        <v>479</v>
      </c>
      <c r="DL188" s="559">
        <v>313</v>
      </c>
      <c r="DM188" s="559">
        <v>311</v>
      </c>
      <c r="DN188" s="559">
        <v>38</v>
      </c>
      <c r="DO188" s="560">
        <v>35</v>
      </c>
      <c r="DP188" s="561">
        <f t="shared" si="352"/>
        <v>0.12140575079872204</v>
      </c>
      <c r="DQ188" s="664">
        <f t="shared" si="353"/>
        <v>0.12218649517684887</v>
      </c>
      <c r="DR188" s="561">
        <v>0.12140575079872204</v>
      </c>
      <c r="DS188" s="562">
        <v>0.12218649517684887</v>
      </c>
      <c r="DT188" s="558">
        <v>310</v>
      </c>
      <c r="DU188" s="559">
        <v>306</v>
      </c>
      <c r="DV188" s="559">
        <v>305</v>
      </c>
      <c r="DW188" s="559">
        <v>42</v>
      </c>
      <c r="DX188" s="560">
        <v>42</v>
      </c>
      <c r="DY188" s="561">
        <f t="shared" si="354"/>
        <v>0.13725490196078433</v>
      </c>
      <c r="DZ188" s="664">
        <f t="shared" si="355"/>
        <v>0.13770491803278689</v>
      </c>
      <c r="EA188" s="561">
        <v>0.13725490196078433</v>
      </c>
      <c r="EB188" s="562">
        <v>0.13770491803278689</v>
      </c>
    </row>
    <row r="189" spans="1:132" s="2" customFormat="1" x14ac:dyDescent="0.25">
      <c r="A189" s="533" t="s">
        <v>452</v>
      </c>
      <c r="B189" s="489" t="s">
        <v>453</v>
      </c>
      <c r="C189" s="573"/>
      <c r="D189" s="535">
        <v>760</v>
      </c>
      <c r="E189" s="559">
        <v>760</v>
      </c>
      <c r="F189" s="559">
        <v>688</v>
      </c>
      <c r="G189" s="559">
        <v>66</v>
      </c>
      <c r="H189" s="560">
        <v>66</v>
      </c>
      <c r="I189" s="561">
        <f t="shared" si="250"/>
        <v>8.6842105263157901E-2</v>
      </c>
      <c r="J189" s="562">
        <f t="shared" si="251"/>
        <v>9.5930232558139539E-2</v>
      </c>
      <c r="K189" s="535">
        <v>720</v>
      </c>
      <c r="L189" s="559">
        <v>720</v>
      </c>
      <c r="M189" s="559">
        <v>543</v>
      </c>
      <c r="N189" s="559">
        <v>59</v>
      </c>
      <c r="O189" s="560">
        <v>59</v>
      </c>
      <c r="P189" s="561">
        <f t="shared" si="326"/>
        <v>8.1944444444444445E-2</v>
      </c>
      <c r="Q189" s="562">
        <f t="shared" si="327"/>
        <v>0.10865561694290976</v>
      </c>
      <c r="R189" s="535">
        <v>880</v>
      </c>
      <c r="S189" s="559">
        <v>880</v>
      </c>
      <c r="T189" s="559">
        <v>790</v>
      </c>
      <c r="U189" s="559">
        <v>59</v>
      </c>
      <c r="V189" s="560">
        <v>59</v>
      </c>
      <c r="W189" s="561">
        <f t="shared" si="248"/>
        <v>6.7045454545454547E-2</v>
      </c>
      <c r="X189" s="562">
        <f t="shared" si="249"/>
        <v>7.4683544303797464E-2</v>
      </c>
      <c r="Y189" s="535">
        <v>734</v>
      </c>
      <c r="Z189" s="559">
        <v>733</v>
      </c>
      <c r="AA189" s="559">
        <v>667</v>
      </c>
      <c r="AB189" s="559">
        <v>64</v>
      </c>
      <c r="AC189" s="560">
        <v>62</v>
      </c>
      <c r="AD189" s="561">
        <f t="shared" si="328"/>
        <v>8.7312414733969987E-2</v>
      </c>
      <c r="AE189" s="562">
        <f t="shared" si="329"/>
        <v>9.5952023988005994E-2</v>
      </c>
      <c r="AF189" s="535">
        <v>633</v>
      </c>
      <c r="AG189" s="559">
        <v>633</v>
      </c>
      <c r="AH189" s="559">
        <v>578</v>
      </c>
      <c r="AI189" s="559">
        <v>84</v>
      </c>
      <c r="AJ189" s="560">
        <v>81</v>
      </c>
      <c r="AK189" s="561">
        <f t="shared" si="330"/>
        <v>0.13270142180094788</v>
      </c>
      <c r="AL189" s="562">
        <f t="shared" si="331"/>
        <v>0.1453287197231834</v>
      </c>
      <c r="AM189" s="535">
        <v>639</v>
      </c>
      <c r="AN189" s="559">
        <v>639</v>
      </c>
      <c r="AO189" s="559">
        <v>579</v>
      </c>
      <c r="AP189" s="559">
        <v>78</v>
      </c>
      <c r="AQ189" s="560">
        <v>72</v>
      </c>
      <c r="AR189" s="561">
        <f t="shared" si="332"/>
        <v>0.12206572769953052</v>
      </c>
      <c r="AS189" s="562">
        <f t="shared" si="333"/>
        <v>0.13471502590673576</v>
      </c>
      <c r="AT189" s="535">
        <v>568</v>
      </c>
      <c r="AU189" s="559">
        <v>567</v>
      </c>
      <c r="AV189" s="559">
        <v>510</v>
      </c>
      <c r="AW189" s="559">
        <v>71</v>
      </c>
      <c r="AX189" s="560">
        <v>65</v>
      </c>
      <c r="AY189" s="561">
        <f t="shared" si="334"/>
        <v>0.12522045855379188</v>
      </c>
      <c r="AZ189" s="562">
        <f t="shared" si="335"/>
        <v>0.13921568627450981</v>
      </c>
      <c r="BA189" s="535">
        <v>532</v>
      </c>
      <c r="BB189" s="559">
        <v>532</v>
      </c>
      <c r="BC189" s="559">
        <v>489</v>
      </c>
      <c r="BD189" s="559">
        <v>56</v>
      </c>
      <c r="BE189" s="560">
        <v>53</v>
      </c>
      <c r="BF189" s="561">
        <f t="shared" si="336"/>
        <v>0.10526315789473684</v>
      </c>
      <c r="BG189" s="562">
        <f t="shared" si="337"/>
        <v>0.11451942740286299</v>
      </c>
      <c r="BH189" s="535">
        <v>471</v>
      </c>
      <c r="BI189" s="559">
        <v>470</v>
      </c>
      <c r="BJ189" s="559">
        <v>392</v>
      </c>
      <c r="BK189" s="559">
        <v>60</v>
      </c>
      <c r="BL189" s="560">
        <v>58</v>
      </c>
      <c r="BM189" s="561">
        <f t="shared" si="338"/>
        <v>0.1276595744680851</v>
      </c>
      <c r="BN189" s="562">
        <f t="shared" si="339"/>
        <v>0.15306122448979592</v>
      </c>
      <c r="BO189" s="535">
        <v>530</v>
      </c>
      <c r="BP189" s="559">
        <v>525</v>
      </c>
      <c r="BQ189" s="559">
        <v>460</v>
      </c>
      <c r="BR189" s="559">
        <v>80</v>
      </c>
      <c r="BS189" s="560">
        <v>72</v>
      </c>
      <c r="BT189" s="561">
        <f t="shared" si="340"/>
        <v>0.15238095238095239</v>
      </c>
      <c r="BU189" s="562">
        <f t="shared" si="341"/>
        <v>0.17391304347826086</v>
      </c>
      <c r="BV189" s="535">
        <v>513</v>
      </c>
      <c r="BW189" s="559">
        <v>513</v>
      </c>
      <c r="BX189" s="559">
        <v>453</v>
      </c>
      <c r="BY189" s="559">
        <v>54</v>
      </c>
      <c r="BZ189" s="560">
        <v>48</v>
      </c>
      <c r="CA189" s="561">
        <f t="shared" si="342"/>
        <v>0.10526315789473684</v>
      </c>
      <c r="CB189" s="562">
        <f t="shared" si="343"/>
        <v>0.11920529801324503</v>
      </c>
      <c r="CC189" s="535">
        <v>511</v>
      </c>
      <c r="CD189" s="559">
        <v>509</v>
      </c>
      <c r="CE189" s="559">
        <v>416</v>
      </c>
      <c r="CF189" s="559">
        <v>66</v>
      </c>
      <c r="CG189" s="560">
        <v>60</v>
      </c>
      <c r="CH189" s="561">
        <f t="shared" si="344"/>
        <v>0.12966601178781925</v>
      </c>
      <c r="CI189" s="562">
        <f t="shared" si="345"/>
        <v>0.15865384615384615</v>
      </c>
      <c r="CJ189" s="535">
        <v>594</v>
      </c>
      <c r="CK189" s="559">
        <v>591</v>
      </c>
      <c r="CL189" s="559">
        <v>530</v>
      </c>
      <c r="CM189" s="559">
        <v>74</v>
      </c>
      <c r="CN189" s="560">
        <v>71</v>
      </c>
      <c r="CO189" s="561">
        <f t="shared" si="346"/>
        <v>0.12521150592216582</v>
      </c>
      <c r="CP189" s="664">
        <f t="shared" si="347"/>
        <v>0.13962264150943396</v>
      </c>
      <c r="CQ189" s="561">
        <v>0.12521150592216582</v>
      </c>
      <c r="CR189" s="562">
        <v>0.13962264150943396</v>
      </c>
      <c r="CS189" s="535">
        <v>633</v>
      </c>
      <c r="CT189" s="559">
        <v>633</v>
      </c>
      <c r="CU189" s="559">
        <v>588</v>
      </c>
      <c r="CV189" s="559">
        <v>73</v>
      </c>
      <c r="CW189" s="560">
        <v>71</v>
      </c>
      <c r="CX189" s="561">
        <f t="shared" si="348"/>
        <v>0.11532385466034756</v>
      </c>
      <c r="CY189" s="664">
        <f t="shared" si="349"/>
        <v>0.12414965986394558</v>
      </c>
      <c r="CZ189" s="561">
        <v>0.11532385466034756</v>
      </c>
      <c r="DA189" s="562">
        <v>0.12414965986394558</v>
      </c>
      <c r="DB189" s="535">
        <v>709</v>
      </c>
      <c r="DC189" s="559">
        <v>708</v>
      </c>
      <c r="DD189" s="559">
        <v>669</v>
      </c>
      <c r="DE189" s="559">
        <v>65</v>
      </c>
      <c r="DF189" s="560">
        <v>65</v>
      </c>
      <c r="DG189" s="561">
        <f t="shared" si="350"/>
        <v>9.1807909604519775E-2</v>
      </c>
      <c r="DH189" s="664">
        <f t="shared" si="351"/>
        <v>9.7159940209267562E-2</v>
      </c>
      <c r="DI189" s="561">
        <v>9.1807909604519775E-2</v>
      </c>
      <c r="DJ189" s="562">
        <v>9.7159940209267562E-2</v>
      </c>
      <c r="DK189" s="535">
        <v>759</v>
      </c>
      <c r="DL189" s="559">
        <v>759</v>
      </c>
      <c r="DM189" s="559">
        <v>678</v>
      </c>
      <c r="DN189" s="559">
        <v>63</v>
      </c>
      <c r="DO189" s="560">
        <v>59</v>
      </c>
      <c r="DP189" s="561">
        <f t="shared" si="352"/>
        <v>8.3003952569169967E-2</v>
      </c>
      <c r="DQ189" s="664">
        <f t="shared" si="353"/>
        <v>9.2920353982300891E-2</v>
      </c>
      <c r="DR189" s="561">
        <v>8.3003952569169967E-2</v>
      </c>
      <c r="DS189" s="562">
        <v>9.2920353982300891E-2</v>
      </c>
      <c r="DT189" s="535">
        <v>732</v>
      </c>
      <c r="DU189" s="559">
        <v>732</v>
      </c>
      <c r="DV189" s="559">
        <v>684</v>
      </c>
      <c r="DW189" s="559">
        <v>65</v>
      </c>
      <c r="DX189" s="560">
        <v>63</v>
      </c>
      <c r="DY189" s="561">
        <f t="shared" si="354"/>
        <v>8.8797814207650275E-2</v>
      </c>
      <c r="DZ189" s="664">
        <f t="shared" si="355"/>
        <v>9.5029239766081866E-2</v>
      </c>
      <c r="EA189" s="561">
        <v>8.8797814207650275E-2</v>
      </c>
      <c r="EB189" s="562">
        <v>9.5029239766081866E-2</v>
      </c>
    </row>
    <row r="190" spans="1:132" s="2" customFormat="1" x14ac:dyDescent="0.25">
      <c r="A190" s="551" t="s">
        <v>454</v>
      </c>
      <c r="B190" s="489" t="s">
        <v>455</v>
      </c>
      <c r="C190" s="574"/>
      <c r="D190" s="535">
        <v>633</v>
      </c>
      <c r="E190" s="559">
        <v>415</v>
      </c>
      <c r="F190" s="559">
        <v>352</v>
      </c>
      <c r="G190" s="559">
        <v>122</v>
      </c>
      <c r="H190" s="560">
        <v>117</v>
      </c>
      <c r="I190" s="561">
        <f t="shared" si="250"/>
        <v>0.29397590361445786</v>
      </c>
      <c r="J190" s="562">
        <f t="shared" si="251"/>
        <v>0.34659090909090912</v>
      </c>
      <c r="K190" s="535">
        <v>746</v>
      </c>
      <c r="L190" s="559">
        <v>665</v>
      </c>
      <c r="M190" s="559">
        <v>570</v>
      </c>
      <c r="N190" s="559">
        <v>124</v>
      </c>
      <c r="O190" s="560">
        <v>117</v>
      </c>
      <c r="P190" s="561">
        <f t="shared" si="326"/>
        <v>0.18646616541353384</v>
      </c>
      <c r="Q190" s="562">
        <f t="shared" si="327"/>
        <v>0.21754385964912282</v>
      </c>
      <c r="R190" s="535">
        <v>829</v>
      </c>
      <c r="S190" s="559">
        <v>745</v>
      </c>
      <c r="T190" s="559">
        <v>654</v>
      </c>
      <c r="U190" s="559">
        <v>182</v>
      </c>
      <c r="V190" s="560">
        <v>168</v>
      </c>
      <c r="W190" s="561">
        <f t="shared" si="248"/>
        <v>0.24429530201342281</v>
      </c>
      <c r="X190" s="562">
        <f t="shared" si="249"/>
        <v>0.27828746177370028</v>
      </c>
      <c r="Y190" s="535">
        <v>652</v>
      </c>
      <c r="Z190" s="559">
        <v>599</v>
      </c>
      <c r="AA190" s="559">
        <v>502</v>
      </c>
      <c r="AB190" s="559">
        <v>147</v>
      </c>
      <c r="AC190" s="560">
        <v>135</v>
      </c>
      <c r="AD190" s="561">
        <f t="shared" si="328"/>
        <v>0.24540901502504173</v>
      </c>
      <c r="AE190" s="562">
        <f t="shared" si="329"/>
        <v>0.29282868525896416</v>
      </c>
      <c r="AF190" s="535">
        <v>726</v>
      </c>
      <c r="AG190" s="559">
        <v>652</v>
      </c>
      <c r="AH190" s="559">
        <v>570</v>
      </c>
      <c r="AI190" s="559">
        <v>135</v>
      </c>
      <c r="AJ190" s="560">
        <v>127</v>
      </c>
      <c r="AK190" s="561">
        <f t="shared" si="330"/>
        <v>0.20705521472392638</v>
      </c>
      <c r="AL190" s="562">
        <f t="shared" si="331"/>
        <v>0.23684210526315788</v>
      </c>
      <c r="AM190" s="535">
        <v>708</v>
      </c>
      <c r="AN190" s="559">
        <v>641</v>
      </c>
      <c r="AO190" s="559">
        <v>574</v>
      </c>
      <c r="AP190" s="559">
        <v>158</v>
      </c>
      <c r="AQ190" s="560">
        <v>144</v>
      </c>
      <c r="AR190" s="561">
        <f t="shared" si="332"/>
        <v>0.24648985959438377</v>
      </c>
      <c r="AS190" s="562">
        <f t="shared" si="333"/>
        <v>0.27526132404181186</v>
      </c>
      <c r="AT190" s="535">
        <v>708</v>
      </c>
      <c r="AU190" s="559">
        <v>639</v>
      </c>
      <c r="AV190" s="559">
        <v>546</v>
      </c>
      <c r="AW190" s="559">
        <v>168</v>
      </c>
      <c r="AX190" s="560">
        <v>159</v>
      </c>
      <c r="AY190" s="561">
        <f t="shared" si="334"/>
        <v>0.26291079812206575</v>
      </c>
      <c r="AZ190" s="562">
        <f t="shared" si="335"/>
        <v>0.30769230769230771</v>
      </c>
      <c r="BA190" s="535">
        <v>646</v>
      </c>
      <c r="BB190" s="559">
        <v>581</v>
      </c>
      <c r="BC190" s="559">
        <v>492</v>
      </c>
      <c r="BD190" s="559">
        <v>127</v>
      </c>
      <c r="BE190" s="560">
        <v>116</v>
      </c>
      <c r="BF190" s="561">
        <f t="shared" si="336"/>
        <v>0.21858864027538727</v>
      </c>
      <c r="BG190" s="562">
        <f t="shared" si="337"/>
        <v>0.258130081300813</v>
      </c>
      <c r="BH190" s="535">
        <v>620</v>
      </c>
      <c r="BI190" s="559">
        <v>545</v>
      </c>
      <c r="BJ190" s="559">
        <v>490</v>
      </c>
      <c r="BK190" s="559">
        <v>133</v>
      </c>
      <c r="BL190" s="560">
        <v>120</v>
      </c>
      <c r="BM190" s="561">
        <f t="shared" si="338"/>
        <v>0.24403669724770644</v>
      </c>
      <c r="BN190" s="562">
        <f t="shared" si="339"/>
        <v>0.27142857142857141</v>
      </c>
      <c r="BO190" s="535">
        <v>589</v>
      </c>
      <c r="BP190" s="559">
        <v>505</v>
      </c>
      <c r="BQ190" s="559">
        <v>439</v>
      </c>
      <c r="BR190" s="559">
        <v>140</v>
      </c>
      <c r="BS190" s="560">
        <v>127</v>
      </c>
      <c r="BT190" s="561">
        <f t="shared" si="340"/>
        <v>0.27722772277227725</v>
      </c>
      <c r="BU190" s="562">
        <f t="shared" si="341"/>
        <v>0.31890660592255127</v>
      </c>
      <c r="BV190" s="535">
        <v>557</v>
      </c>
      <c r="BW190" s="559">
        <v>477</v>
      </c>
      <c r="BX190" s="559">
        <v>383</v>
      </c>
      <c r="BY190" s="559">
        <v>132</v>
      </c>
      <c r="BZ190" s="560">
        <v>114</v>
      </c>
      <c r="CA190" s="561">
        <f t="shared" si="342"/>
        <v>0.27672955974842767</v>
      </c>
      <c r="CB190" s="562">
        <f t="shared" si="343"/>
        <v>0.34464751958224543</v>
      </c>
      <c r="CC190" s="535">
        <v>522</v>
      </c>
      <c r="CD190" s="559">
        <v>461</v>
      </c>
      <c r="CE190" s="559">
        <v>382</v>
      </c>
      <c r="CF190" s="559">
        <v>136</v>
      </c>
      <c r="CG190" s="560">
        <v>123</v>
      </c>
      <c r="CH190" s="561">
        <f t="shared" si="344"/>
        <v>0.29501084598698479</v>
      </c>
      <c r="CI190" s="562">
        <f t="shared" si="345"/>
        <v>0.35602094240837695</v>
      </c>
      <c r="CJ190" s="535">
        <v>639</v>
      </c>
      <c r="CK190" s="559">
        <v>542</v>
      </c>
      <c r="CL190" s="559">
        <v>444</v>
      </c>
      <c r="CM190" s="559">
        <v>162</v>
      </c>
      <c r="CN190" s="560">
        <v>138</v>
      </c>
      <c r="CO190" s="561">
        <f t="shared" si="346"/>
        <v>0.2988929889298893</v>
      </c>
      <c r="CP190" s="664">
        <f t="shared" si="347"/>
        <v>0.36486486486486486</v>
      </c>
      <c r="CQ190" s="561">
        <v>0.2988929889298893</v>
      </c>
      <c r="CR190" s="562">
        <v>0.36486486486486486</v>
      </c>
      <c r="CS190" s="535">
        <v>615</v>
      </c>
      <c r="CT190" s="559">
        <v>516</v>
      </c>
      <c r="CU190" s="559">
        <v>435</v>
      </c>
      <c r="CV190" s="559">
        <v>147</v>
      </c>
      <c r="CW190" s="560">
        <v>132</v>
      </c>
      <c r="CX190" s="561">
        <f t="shared" si="348"/>
        <v>0.28488372093023256</v>
      </c>
      <c r="CY190" s="664">
        <f t="shared" si="349"/>
        <v>0.33793103448275863</v>
      </c>
      <c r="CZ190" s="561">
        <v>0.28488372093023256</v>
      </c>
      <c r="DA190" s="562">
        <v>0.33793103448275863</v>
      </c>
      <c r="DB190" s="535">
        <v>648</v>
      </c>
      <c r="DC190" s="559">
        <v>542</v>
      </c>
      <c r="DD190" s="559">
        <v>447</v>
      </c>
      <c r="DE190" s="559">
        <v>169</v>
      </c>
      <c r="DF190" s="560">
        <v>148</v>
      </c>
      <c r="DG190" s="561">
        <f t="shared" si="350"/>
        <v>0.31180811808118081</v>
      </c>
      <c r="DH190" s="664">
        <f t="shared" si="351"/>
        <v>0.37807606263982102</v>
      </c>
      <c r="DI190" s="561">
        <v>0.31180811808118081</v>
      </c>
      <c r="DJ190" s="562">
        <v>0.37807606263982102</v>
      </c>
      <c r="DK190" s="535">
        <v>617</v>
      </c>
      <c r="DL190" s="559">
        <v>526</v>
      </c>
      <c r="DM190" s="559">
        <v>436</v>
      </c>
      <c r="DN190" s="559">
        <v>163</v>
      </c>
      <c r="DO190" s="560">
        <v>156</v>
      </c>
      <c r="DP190" s="561">
        <f t="shared" si="352"/>
        <v>0.30988593155893535</v>
      </c>
      <c r="DQ190" s="664">
        <f t="shared" si="353"/>
        <v>0.37385321100917429</v>
      </c>
      <c r="DR190" s="561">
        <v>0.30988593155893535</v>
      </c>
      <c r="DS190" s="562">
        <v>0.37385321100917429</v>
      </c>
      <c r="DT190" s="535">
        <v>719</v>
      </c>
      <c r="DU190" s="559">
        <v>573</v>
      </c>
      <c r="DV190" s="559">
        <v>481</v>
      </c>
      <c r="DW190" s="559">
        <v>150</v>
      </c>
      <c r="DX190" s="560">
        <v>130</v>
      </c>
      <c r="DY190" s="561">
        <f t="shared" si="354"/>
        <v>0.26178010471204188</v>
      </c>
      <c r="DZ190" s="664">
        <f t="shared" si="355"/>
        <v>0.31185031185031187</v>
      </c>
      <c r="EA190" s="561">
        <v>0.26178010471204188</v>
      </c>
      <c r="EB190" s="562">
        <v>0.31185031185031187</v>
      </c>
    </row>
    <row r="191" spans="1:132" s="2" customFormat="1" x14ac:dyDescent="0.25">
      <c r="A191" s="554" t="s">
        <v>454</v>
      </c>
      <c r="B191" s="497" t="s">
        <v>456</v>
      </c>
      <c r="C191" s="556" t="s">
        <v>457</v>
      </c>
      <c r="D191" s="499">
        <v>179</v>
      </c>
      <c r="E191" s="500">
        <v>174</v>
      </c>
      <c r="F191" s="500">
        <v>147</v>
      </c>
      <c r="G191" s="500">
        <v>71</v>
      </c>
      <c r="H191" s="500">
        <v>67</v>
      </c>
      <c r="I191" s="501">
        <f t="shared" si="250"/>
        <v>0.40804597701149425</v>
      </c>
      <c r="J191" s="502">
        <f t="shared" si="251"/>
        <v>0.48299319727891155</v>
      </c>
      <c r="K191" s="499">
        <v>181</v>
      </c>
      <c r="L191" s="500">
        <v>176</v>
      </c>
      <c r="M191" s="500">
        <v>143</v>
      </c>
      <c r="N191" s="500">
        <v>60</v>
      </c>
      <c r="O191" s="500">
        <v>54</v>
      </c>
      <c r="P191" s="501">
        <f t="shared" si="326"/>
        <v>0.34090909090909088</v>
      </c>
      <c r="Q191" s="502">
        <f t="shared" si="327"/>
        <v>0.41958041958041958</v>
      </c>
      <c r="R191" s="499">
        <v>220</v>
      </c>
      <c r="S191" s="500">
        <v>213</v>
      </c>
      <c r="T191" s="500">
        <v>181</v>
      </c>
      <c r="U191" s="500">
        <v>89</v>
      </c>
      <c r="V191" s="500">
        <v>84</v>
      </c>
      <c r="W191" s="501">
        <f t="shared" si="248"/>
        <v>0.41784037558685444</v>
      </c>
      <c r="X191" s="502">
        <f t="shared" si="249"/>
        <v>0.49171270718232046</v>
      </c>
      <c r="Y191" s="499">
        <v>197</v>
      </c>
      <c r="Z191" s="500">
        <v>194</v>
      </c>
      <c r="AA191" s="500">
        <v>166</v>
      </c>
      <c r="AB191" s="500">
        <v>89</v>
      </c>
      <c r="AC191" s="500">
        <v>81</v>
      </c>
      <c r="AD191" s="501">
        <f t="shared" si="328"/>
        <v>0.45876288659793812</v>
      </c>
      <c r="AE191" s="502">
        <f t="shared" si="329"/>
        <v>0.53614457831325302</v>
      </c>
      <c r="AF191" s="499">
        <v>189</v>
      </c>
      <c r="AG191" s="500">
        <v>188</v>
      </c>
      <c r="AH191" s="500">
        <v>163</v>
      </c>
      <c r="AI191" s="500">
        <v>64</v>
      </c>
      <c r="AJ191" s="500">
        <v>58</v>
      </c>
      <c r="AK191" s="501">
        <f t="shared" si="330"/>
        <v>0.34042553191489361</v>
      </c>
      <c r="AL191" s="502">
        <f t="shared" si="331"/>
        <v>0.39263803680981596</v>
      </c>
      <c r="AM191" s="499">
        <v>219</v>
      </c>
      <c r="AN191" s="500">
        <v>215</v>
      </c>
      <c r="AO191" s="500">
        <v>215</v>
      </c>
      <c r="AP191" s="500">
        <v>85</v>
      </c>
      <c r="AQ191" s="500">
        <v>75</v>
      </c>
      <c r="AR191" s="501">
        <f t="shared" si="332"/>
        <v>0.39534883720930231</v>
      </c>
      <c r="AS191" s="502">
        <f t="shared" si="333"/>
        <v>0.39534883720930231</v>
      </c>
      <c r="AT191" s="499">
        <v>197</v>
      </c>
      <c r="AU191" s="500">
        <v>193</v>
      </c>
      <c r="AV191" s="500">
        <v>164</v>
      </c>
      <c r="AW191" s="500">
        <v>79</v>
      </c>
      <c r="AX191" s="500">
        <v>74</v>
      </c>
      <c r="AY191" s="501">
        <f t="shared" si="334"/>
        <v>0.40932642487046633</v>
      </c>
      <c r="AZ191" s="502">
        <f t="shared" si="335"/>
        <v>0.48170731707317072</v>
      </c>
      <c r="BA191" s="499">
        <v>214</v>
      </c>
      <c r="BB191" s="500">
        <v>207</v>
      </c>
      <c r="BC191" s="500">
        <v>167</v>
      </c>
      <c r="BD191" s="500">
        <v>60</v>
      </c>
      <c r="BE191" s="500">
        <v>56</v>
      </c>
      <c r="BF191" s="501">
        <f t="shared" si="336"/>
        <v>0.28985507246376813</v>
      </c>
      <c r="BG191" s="502">
        <f t="shared" si="337"/>
        <v>0.3592814371257485</v>
      </c>
      <c r="BH191" s="499">
        <v>199</v>
      </c>
      <c r="BI191" s="500">
        <v>194</v>
      </c>
      <c r="BJ191" s="500">
        <v>157</v>
      </c>
      <c r="BK191" s="500">
        <v>71</v>
      </c>
      <c r="BL191" s="500">
        <v>64</v>
      </c>
      <c r="BM191" s="501">
        <f t="shared" si="338"/>
        <v>0.36597938144329895</v>
      </c>
      <c r="BN191" s="502">
        <f t="shared" si="339"/>
        <v>0.45222929936305734</v>
      </c>
      <c r="BO191" s="499">
        <v>135</v>
      </c>
      <c r="BP191" s="500">
        <v>131</v>
      </c>
      <c r="BQ191" s="500">
        <v>105</v>
      </c>
      <c r="BR191" s="500">
        <v>59</v>
      </c>
      <c r="BS191" s="500">
        <v>54</v>
      </c>
      <c r="BT191" s="501">
        <f t="shared" si="340"/>
        <v>0.45038167938931295</v>
      </c>
      <c r="BU191" s="502">
        <f t="shared" si="341"/>
        <v>0.56190476190476191</v>
      </c>
      <c r="BV191" s="499">
        <v>152</v>
      </c>
      <c r="BW191" s="500">
        <v>148</v>
      </c>
      <c r="BX191" s="500">
        <v>116</v>
      </c>
      <c r="BY191" s="500">
        <v>62</v>
      </c>
      <c r="BZ191" s="500">
        <v>55</v>
      </c>
      <c r="CA191" s="501">
        <f t="shared" si="342"/>
        <v>0.41891891891891891</v>
      </c>
      <c r="CB191" s="502">
        <f t="shared" si="343"/>
        <v>0.53448275862068961</v>
      </c>
      <c r="CC191" s="499">
        <v>146</v>
      </c>
      <c r="CD191" s="500">
        <v>142</v>
      </c>
      <c r="CE191" s="500">
        <v>107</v>
      </c>
      <c r="CF191" s="500">
        <v>60</v>
      </c>
      <c r="CG191" s="500">
        <v>56</v>
      </c>
      <c r="CH191" s="501">
        <f t="shared" si="344"/>
        <v>0.42253521126760563</v>
      </c>
      <c r="CI191" s="502">
        <f t="shared" si="345"/>
        <v>0.56074766355140182</v>
      </c>
      <c r="CJ191" s="499">
        <v>146</v>
      </c>
      <c r="CK191" s="500">
        <v>139</v>
      </c>
      <c r="CL191" s="500">
        <v>117</v>
      </c>
      <c r="CM191" s="500">
        <v>81</v>
      </c>
      <c r="CN191" s="500">
        <v>69</v>
      </c>
      <c r="CO191" s="501">
        <f t="shared" si="346"/>
        <v>0.58273381294964033</v>
      </c>
      <c r="CP191" s="501">
        <f t="shared" si="347"/>
        <v>0.69230769230769229</v>
      </c>
      <c r="CQ191" s="501">
        <v>0.58273381294964033</v>
      </c>
      <c r="CR191" s="502">
        <v>0.69230769230769229</v>
      </c>
      <c r="CS191" s="499">
        <v>156</v>
      </c>
      <c r="CT191" s="500">
        <v>144</v>
      </c>
      <c r="CU191" s="500">
        <v>122</v>
      </c>
      <c r="CV191" s="500">
        <v>73</v>
      </c>
      <c r="CW191" s="500">
        <v>64</v>
      </c>
      <c r="CX191" s="501">
        <f t="shared" si="348"/>
        <v>0.50694444444444442</v>
      </c>
      <c r="CY191" s="501">
        <f t="shared" si="349"/>
        <v>0.59836065573770492</v>
      </c>
      <c r="CZ191" s="501">
        <v>0.50694444444444442</v>
      </c>
      <c r="DA191" s="502">
        <v>0.59836065573770492</v>
      </c>
      <c r="DB191" s="499">
        <v>207</v>
      </c>
      <c r="DC191" s="500">
        <v>199</v>
      </c>
      <c r="DD191" s="500">
        <v>174</v>
      </c>
      <c r="DE191" s="500">
        <v>92</v>
      </c>
      <c r="DF191" s="500">
        <v>76</v>
      </c>
      <c r="DG191" s="501">
        <f t="shared" si="350"/>
        <v>0.46231155778894473</v>
      </c>
      <c r="DH191" s="501">
        <f t="shared" si="351"/>
        <v>0.52873563218390807</v>
      </c>
      <c r="DI191" s="501">
        <v>0.46231155778894473</v>
      </c>
      <c r="DJ191" s="502">
        <v>0.52873563218390807</v>
      </c>
      <c r="DK191" s="499">
        <v>201</v>
      </c>
      <c r="DL191" s="500">
        <v>192</v>
      </c>
      <c r="DM191" s="500">
        <v>166</v>
      </c>
      <c r="DN191" s="500">
        <v>87</v>
      </c>
      <c r="DO191" s="500">
        <v>83</v>
      </c>
      <c r="DP191" s="501">
        <f t="shared" si="352"/>
        <v>0.453125</v>
      </c>
      <c r="DQ191" s="501">
        <f t="shared" si="353"/>
        <v>0.52409638554216864</v>
      </c>
      <c r="DR191" s="501">
        <v>0.453125</v>
      </c>
      <c r="DS191" s="502">
        <v>0.52409638554216864</v>
      </c>
      <c r="DT191" s="499">
        <v>192</v>
      </c>
      <c r="DU191" s="500">
        <v>172</v>
      </c>
      <c r="DV191" s="500">
        <v>153</v>
      </c>
      <c r="DW191" s="500">
        <v>72</v>
      </c>
      <c r="DX191" s="500">
        <v>61</v>
      </c>
      <c r="DY191" s="501">
        <f t="shared" si="354"/>
        <v>0.41860465116279072</v>
      </c>
      <c r="DZ191" s="501">
        <f t="shared" si="355"/>
        <v>0.47058823529411764</v>
      </c>
      <c r="EA191" s="501">
        <v>0.41860465116279072</v>
      </c>
      <c r="EB191" s="502">
        <v>0.47058823529411764</v>
      </c>
    </row>
    <row r="192" spans="1:132" s="2" customFormat="1" x14ac:dyDescent="0.25">
      <c r="A192" s="511" t="s">
        <v>454</v>
      </c>
      <c r="B192" s="512" t="s">
        <v>458</v>
      </c>
      <c r="C192" s="513" t="s">
        <v>459</v>
      </c>
      <c r="D192" s="514">
        <v>454</v>
      </c>
      <c r="E192" s="515">
        <v>415</v>
      </c>
      <c r="F192" s="515">
        <v>352</v>
      </c>
      <c r="G192" s="515">
        <v>122</v>
      </c>
      <c r="H192" s="515">
        <v>117</v>
      </c>
      <c r="I192" s="516">
        <f t="shared" si="250"/>
        <v>0.29397590361445786</v>
      </c>
      <c r="J192" s="517">
        <f t="shared" si="251"/>
        <v>0.34659090909090912</v>
      </c>
      <c r="K192" s="514">
        <v>565</v>
      </c>
      <c r="L192" s="515">
        <v>493</v>
      </c>
      <c r="M192" s="515">
        <v>430</v>
      </c>
      <c r="N192" s="515">
        <v>64</v>
      </c>
      <c r="O192" s="515">
        <v>63</v>
      </c>
      <c r="P192" s="516">
        <f t="shared" si="326"/>
        <v>0.12981744421906694</v>
      </c>
      <c r="Q192" s="517">
        <f t="shared" si="327"/>
        <v>0.14883720930232558</v>
      </c>
      <c r="R192" s="514">
        <v>609</v>
      </c>
      <c r="S192" s="515">
        <v>535</v>
      </c>
      <c r="T192" s="515">
        <v>476</v>
      </c>
      <c r="U192" s="515">
        <v>93</v>
      </c>
      <c r="V192" s="515">
        <v>84</v>
      </c>
      <c r="W192" s="516">
        <f t="shared" si="248"/>
        <v>0.17383177570093458</v>
      </c>
      <c r="X192" s="517">
        <f t="shared" si="249"/>
        <v>0.1953781512605042</v>
      </c>
      <c r="Y192" s="514">
        <v>455</v>
      </c>
      <c r="Z192" s="515">
        <v>408</v>
      </c>
      <c r="AA192" s="515">
        <v>338</v>
      </c>
      <c r="AB192" s="515">
        <v>59</v>
      </c>
      <c r="AC192" s="515">
        <v>54</v>
      </c>
      <c r="AD192" s="516">
        <f t="shared" si="328"/>
        <v>0.14460784313725492</v>
      </c>
      <c r="AE192" s="517">
        <f t="shared" si="329"/>
        <v>0.17455621301775148</v>
      </c>
      <c r="AF192" s="514">
        <v>537</v>
      </c>
      <c r="AG192" s="515">
        <v>467</v>
      </c>
      <c r="AH192" s="515">
        <v>409</v>
      </c>
      <c r="AI192" s="515">
        <v>72</v>
      </c>
      <c r="AJ192" s="515">
        <v>69</v>
      </c>
      <c r="AK192" s="516">
        <f t="shared" si="330"/>
        <v>0.15417558886509636</v>
      </c>
      <c r="AL192" s="517">
        <f t="shared" si="331"/>
        <v>0.17603911980440098</v>
      </c>
      <c r="AM192" s="514">
        <v>489</v>
      </c>
      <c r="AN192" s="515">
        <v>434</v>
      </c>
      <c r="AO192" s="515">
        <v>366</v>
      </c>
      <c r="AP192" s="515">
        <v>73</v>
      </c>
      <c r="AQ192" s="515">
        <v>69</v>
      </c>
      <c r="AR192" s="516">
        <f t="shared" si="332"/>
        <v>0.16820276497695852</v>
      </c>
      <c r="AS192" s="517">
        <f t="shared" si="333"/>
        <v>0.19945355191256831</v>
      </c>
      <c r="AT192" s="514">
        <v>511</v>
      </c>
      <c r="AU192" s="515">
        <v>447</v>
      </c>
      <c r="AV192" s="515">
        <v>382</v>
      </c>
      <c r="AW192" s="515">
        <v>89</v>
      </c>
      <c r="AX192" s="515">
        <v>85</v>
      </c>
      <c r="AY192" s="516">
        <f t="shared" si="334"/>
        <v>0.19910514541387025</v>
      </c>
      <c r="AZ192" s="517">
        <f t="shared" si="335"/>
        <v>0.23298429319371727</v>
      </c>
      <c r="BA192" s="514">
        <v>432</v>
      </c>
      <c r="BB192" s="515">
        <v>378</v>
      </c>
      <c r="BC192" s="515">
        <v>328</v>
      </c>
      <c r="BD192" s="515">
        <v>67</v>
      </c>
      <c r="BE192" s="515">
        <v>60</v>
      </c>
      <c r="BF192" s="516">
        <f t="shared" si="336"/>
        <v>0.17724867724867724</v>
      </c>
      <c r="BG192" s="517">
        <f t="shared" si="337"/>
        <v>0.20426829268292682</v>
      </c>
      <c r="BH192" s="514">
        <v>421</v>
      </c>
      <c r="BI192" s="515">
        <v>352</v>
      </c>
      <c r="BJ192" s="515">
        <v>334</v>
      </c>
      <c r="BK192" s="515">
        <v>62</v>
      </c>
      <c r="BL192" s="515">
        <v>56</v>
      </c>
      <c r="BM192" s="516">
        <f t="shared" si="338"/>
        <v>0.17613636363636365</v>
      </c>
      <c r="BN192" s="517">
        <f t="shared" si="339"/>
        <v>0.18562874251497005</v>
      </c>
      <c r="BO192" s="514">
        <v>454</v>
      </c>
      <c r="BP192" s="515">
        <v>377</v>
      </c>
      <c r="BQ192" s="515">
        <v>335</v>
      </c>
      <c r="BR192" s="515">
        <v>81</v>
      </c>
      <c r="BS192" s="515">
        <v>73</v>
      </c>
      <c r="BT192" s="516">
        <f t="shared" si="340"/>
        <v>0.21485411140583555</v>
      </c>
      <c r="BU192" s="517">
        <f t="shared" si="341"/>
        <v>0.2417910447761194</v>
      </c>
      <c r="BV192" s="514">
        <v>405</v>
      </c>
      <c r="BW192" s="515">
        <v>333</v>
      </c>
      <c r="BX192" s="515">
        <v>270</v>
      </c>
      <c r="BY192" s="515">
        <v>70</v>
      </c>
      <c r="BZ192" s="515">
        <v>59</v>
      </c>
      <c r="CA192" s="516">
        <f t="shared" si="342"/>
        <v>0.21021021021021022</v>
      </c>
      <c r="CB192" s="517">
        <f t="shared" si="343"/>
        <v>0.25925925925925924</v>
      </c>
      <c r="CC192" s="514">
        <v>376</v>
      </c>
      <c r="CD192" s="515">
        <v>321</v>
      </c>
      <c r="CE192" s="515">
        <v>276</v>
      </c>
      <c r="CF192" s="515">
        <v>76</v>
      </c>
      <c r="CG192" s="515">
        <v>67</v>
      </c>
      <c r="CH192" s="516">
        <f t="shared" si="344"/>
        <v>0.2367601246105919</v>
      </c>
      <c r="CI192" s="517">
        <f t="shared" si="345"/>
        <v>0.27536231884057971</v>
      </c>
      <c r="CJ192" s="514">
        <v>493</v>
      </c>
      <c r="CK192" s="515">
        <v>406</v>
      </c>
      <c r="CL192" s="515">
        <v>329</v>
      </c>
      <c r="CM192" s="515">
        <v>81</v>
      </c>
      <c r="CN192" s="515">
        <v>69</v>
      </c>
      <c r="CO192" s="516">
        <f t="shared" si="346"/>
        <v>0.19950738916256158</v>
      </c>
      <c r="CP192" s="516">
        <f t="shared" si="347"/>
        <v>0.24620060790273557</v>
      </c>
      <c r="CQ192" s="516">
        <v>0.19950738916256158</v>
      </c>
      <c r="CR192" s="517">
        <v>0.24620060790273557</v>
      </c>
      <c r="CS192" s="514">
        <v>459</v>
      </c>
      <c r="CT192" s="515">
        <v>380</v>
      </c>
      <c r="CU192" s="515">
        <v>318</v>
      </c>
      <c r="CV192" s="515">
        <v>74</v>
      </c>
      <c r="CW192" s="515">
        <v>68</v>
      </c>
      <c r="CX192" s="516">
        <f t="shared" si="348"/>
        <v>0.19473684210526315</v>
      </c>
      <c r="CY192" s="516">
        <f t="shared" si="349"/>
        <v>0.23270440251572327</v>
      </c>
      <c r="CZ192" s="516">
        <v>0.19473684210526315</v>
      </c>
      <c r="DA192" s="517">
        <v>0.23270440251572327</v>
      </c>
      <c r="DB192" s="514">
        <v>441</v>
      </c>
      <c r="DC192" s="515">
        <v>350</v>
      </c>
      <c r="DD192" s="515">
        <v>277</v>
      </c>
      <c r="DE192" s="515">
        <v>77</v>
      </c>
      <c r="DF192" s="515">
        <v>72</v>
      </c>
      <c r="DG192" s="516">
        <f t="shared" si="350"/>
        <v>0.22</v>
      </c>
      <c r="DH192" s="516">
        <f t="shared" si="351"/>
        <v>0.27797833935018051</v>
      </c>
      <c r="DI192" s="516">
        <v>0.22</v>
      </c>
      <c r="DJ192" s="517">
        <v>0.27797833935018051</v>
      </c>
      <c r="DK192" s="514">
        <v>416</v>
      </c>
      <c r="DL192" s="515">
        <v>339</v>
      </c>
      <c r="DM192" s="515">
        <v>273</v>
      </c>
      <c r="DN192" s="515">
        <v>76</v>
      </c>
      <c r="DO192" s="515">
        <v>73</v>
      </c>
      <c r="DP192" s="516">
        <f t="shared" si="352"/>
        <v>0.22418879056047197</v>
      </c>
      <c r="DQ192" s="516">
        <f t="shared" si="353"/>
        <v>0.2783882783882784</v>
      </c>
      <c r="DR192" s="516">
        <v>0.22418879056047197</v>
      </c>
      <c r="DS192" s="517">
        <v>0.2783882783882784</v>
      </c>
      <c r="DT192" s="514">
        <v>527</v>
      </c>
      <c r="DU192" s="515">
        <v>411</v>
      </c>
      <c r="DV192" s="515">
        <v>335</v>
      </c>
      <c r="DW192" s="515">
        <v>78</v>
      </c>
      <c r="DX192" s="515">
        <v>69</v>
      </c>
      <c r="DY192" s="516">
        <f t="shared" si="354"/>
        <v>0.18978102189781021</v>
      </c>
      <c r="DZ192" s="516">
        <f t="shared" si="355"/>
        <v>0.23283582089552238</v>
      </c>
      <c r="EA192" s="516">
        <v>0.18978102189781021</v>
      </c>
      <c r="EB192" s="517">
        <v>0.23283582089552238</v>
      </c>
    </row>
    <row r="193" spans="1:132" s="2" customFormat="1" x14ac:dyDescent="0.25">
      <c r="A193" s="575" t="s">
        <v>460</v>
      </c>
      <c r="B193" s="576" t="s">
        <v>461</v>
      </c>
      <c r="C193" s="520" t="s">
        <v>199</v>
      </c>
      <c r="D193" s="558">
        <v>3088</v>
      </c>
      <c r="E193" s="559">
        <v>2732</v>
      </c>
      <c r="F193" s="559">
        <v>2732</v>
      </c>
      <c r="G193" s="559">
        <v>1391</v>
      </c>
      <c r="H193" s="560">
        <v>1156</v>
      </c>
      <c r="I193" s="561">
        <f t="shared" si="250"/>
        <v>0.50915080527086387</v>
      </c>
      <c r="J193" s="562">
        <f t="shared" si="251"/>
        <v>0.50915080527086387</v>
      </c>
      <c r="K193" s="558">
        <v>3172</v>
      </c>
      <c r="L193" s="559">
        <v>2675</v>
      </c>
      <c r="M193" s="559">
        <v>2675</v>
      </c>
      <c r="N193" s="559">
        <v>1696</v>
      </c>
      <c r="O193" s="560">
        <v>1398</v>
      </c>
      <c r="P193" s="561">
        <f t="shared" si="326"/>
        <v>0.6340186915887851</v>
      </c>
      <c r="Q193" s="562">
        <f t="shared" si="327"/>
        <v>0.6340186915887851</v>
      </c>
      <c r="R193" s="558">
        <v>2875</v>
      </c>
      <c r="S193" s="559">
        <v>2459</v>
      </c>
      <c r="T193" s="559">
        <v>2459</v>
      </c>
      <c r="U193" s="559">
        <v>1567</v>
      </c>
      <c r="V193" s="560">
        <v>1337</v>
      </c>
      <c r="W193" s="561">
        <f t="shared" si="248"/>
        <v>0.63725091500610009</v>
      </c>
      <c r="X193" s="562">
        <f t="shared" si="249"/>
        <v>0.63725091500610009</v>
      </c>
      <c r="Y193" s="558">
        <v>2618</v>
      </c>
      <c r="Z193" s="559">
        <v>2209</v>
      </c>
      <c r="AA193" s="559">
        <v>2209</v>
      </c>
      <c r="AB193" s="559">
        <v>1305</v>
      </c>
      <c r="AC193" s="560">
        <v>1093</v>
      </c>
      <c r="AD193" s="561">
        <f t="shared" si="328"/>
        <v>0.59076505205975549</v>
      </c>
      <c r="AE193" s="562">
        <f t="shared" si="329"/>
        <v>0.59076505205975549</v>
      </c>
      <c r="AF193" s="558">
        <v>2991</v>
      </c>
      <c r="AG193" s="559">
        <v>2556</v>
      </c>
      <c r="AH193" s="559">
        <v>2217</v>
      </c>
      <c r="AI193" s="559">
        <v>1867</v>
      </c>
      <c r="AJ193" s="560">
        <v>1524</v>
      </c>
      <c r="AK193" s="561">
        <f t="shared" si="330"/>
        <v>0.73043818466353683</v>
      </c>
      <c r="AL193" s="562">
        <f t="shared" si="331"/>
        <v>0.8421290031574199</v>
      </c>
      <c r="AM193" s="558">
        <v>2329</v>
      </c>
      <c r="AN193" s="559">
        <v>2054</v>
      </c>
      <c r="AO193" s="559">
        <v>1870</v>
      </c>
      <c r="AP193" s="559">
        <v>1607</v>
      </c>
      <c r="AQ193" s="560">
        <v>1274</v>
      </c>
      <c r="AR193" s="561">
        <f t="shared" si="332"/>
        <v>0.78237585199610515</v>
      </c>
      <c r="AS193" s="562">
        <f t="shared" si="333"/>
        <v>0.85935828877005349</v>
      </c>
      <c r="AT193" s="558">
        <v>1746</v>
      </c>
      <c r="AU193" s="559">
        <v>1580</v>
      </c>
      <c r="AV193" s="559">
        <v>1309</v>
      </c>
      <c r="AW193" s="559">
        <v>1208</v>
      </c>
      <c r="AX193" s="560">
        <v>966</v>
      </c>
      <c r="AY193" s="561">
        <f t="shared" si="334"/>
        <v>0.76455696202531642</v>
      </c>
      <c r="AZ193" s="562">
        <f t="shared" si="335"/>
        <v>0.92284186401833457</v>
      </c>
      <c r="BA193" s="558">
        <v>2097</v>
      </c>
      <c r="BB193" s="559">
        <v>1795</v>
      </c>
      <c r="BC193" s="559">
        <v>1587</v>
      </c>
      <c r="BD193" s="559">
        <v>1305</v>
      </c>
      <c r="BE193" s="560">
        <v>1049</v>
      </c>
      <c r="BF193" s="561">
        <f t="shared" si="336"/>
        <v>0.72701949860724235</v>
      </c>
      <c r="BG193" s="562">
        <f t="shared" si="337"/>
        <v>0.82230623818525517</v>
      </c>
      <c r="BH193" s="558">
        <v>2039</v>
      </c>
      <c r="BI193" s="559">
        <v>1817</v>
      </c>
      <c r="BJ193" s="559">
        <v>1547</v>
      </c>
      <c r="BK193" s="559">
        <v>1516</v>
      </c>
      <c r="BL193" s="560">
        <v>1185</v>
      </c>
      <c r="BM193" s="561">
        <f t="shared" si="338"/>
        <v>0.83434232250963125</v>
      </c>
      <c r="BN193" s="562">
        <f t="shared" si="339"/>
        <v>0.97996121525533286</v>
      </c>
      <c r="BO193" s="558">
        <v>2099</v>
      </c>
      <c r="BP193" s="559">
        <v>1858</v>
      </c>
      <c r="BQ193" s="559">
        <v>1563</v>
      </c>
      <c r="BR193" s="559">
        <v>1540</v>
      </c>
      <c r="BS193" s="560">
        <v>1129</v>
      </c>
      <c r="BT193" s="561">
        <f t="shared" si="340"/>
        <v>0.82884822389666313</v>
      </c>
      <c r="BU193" s="562">
        <f t="shared" si="341"/>
        <v>0.98528470889315423</v>
      </c>
      <c r="BV193" s="558">
        <v>2436</v>
      </c>
      <c r="BW193" s="559">
        <v>2211</v>
      </c>
      <c r="BX193" s="559">
        <v>1931</v>
      </c>
      <c r="BY193" s="559">
        <v>1881</v>
      </c>
      <c r="BZ193" s="560">
        <v>1399</v>
      </c>
      <c r="CA193" s="561">
        <f t="shared" si="342"/>
        <v>0.85074626865671643</v>
      </c>
      <c r="CB193" s="562">
        <f t="shared" si="343"/>
        <v>0.97410668047643711</v>
      </c>
      <c r="CC193" s="558">
        <v>1955</v>
      </c>
      <c r="CD193" s="559">
        <v>1815</v>
      </c>
      <c r="CE193" s="559">
        <v>1790</v>
      </c>
      <c r="CF193" s="559">
        <v>1613</v>
      </c>
      <c r="CG193" s="560">
        <v>1211</v>
      </c>
      <c r="CH193" s="561">
        <f t="shared" si="344"/>
        <v>0.88870523415977964</v>
      </c>
      <c r="CI193" s="562">
        <f t="shared" si="345"/>
        <v>0.90111731843575416</v>
      </c>
      <c r="CJ193" s="558">
        <v>1938</v>
      </c>
      <c r="CK193" s="559">
        <v>1751</v>
      </c>
      <c r="CL193" s="559">
        <v>1639</v>
      </c>
      <c r="CM193" s="559">
        <v>1491</v>
      </c>
      <c r="CN193" s="560">
        <v>1140</v>
      </c>
      <c r="CO193" s="561">
        <f t="shared" si="346"/>
        <v>0.8515134209023415</v>
      </c>
      <c r="CP193" s="664">
        <f t="shared" si="347"/>
        <v>0.9097010372178157</v>
      </c>
      <c r="CQ193" s="561">
        <v>0.89206167904054823</v>
      </c>
      <c r="CR193" s="562">
        <v>0.95302013422818788</v>
      </c>
      <c r="CS193" s="558">
        <v>1958</v>
      </c>
      <c r="CT193" s="559">
        <v>1722</v>
      </c>
      <c r="CU193" s="559">
        <v>1582</v>
      </c>
      <c r="CV193" s="559">
        <v>1157</v>
      </c>
      <c r="CW193" s="560">
        <v>1069</v>
      </c>
      <c r="CX193" s="561">
        <f t="shared" si="348"/>
        <v>0.67189314750290363</v>
      </c>
      <c r="CY193" s="664">
        <f t="shared" si="349"/>
        <v>0.73135271807838176</v>
      </c>
      <c r="CZ193" s="561">
        <v>0.87282229965156799</v>
      </c>
      <c r="DA193" s="562">
        <v>0.95006321112515801</v>
      </c>
      <c r="DB193" s="558">
        <v>2166</v>
      </c>
      <c r="DC193" s="559">
        <v>1893</v>
      </c>
      <c r="DD193" s="559">
        <v>1758</v>
      </c>
      <c r="DE193" s="559">
        <v>1238</v>
      </c>
      <c r="DF193" s="560">
        <v>1136</v>
      </c>
      <c r="DG193" s="561">
        <f t="shared" si="350"/>
        <v>0.65398837823560485</v>
      </c>
      <c r="DH193" s="664">
        <f t="shared" si="351"/>
        <v>0.70420932878270759</v>
      </c>
      <c r="DI193" s="561">
        <v>0.89012150026413106</v>
      </c>
      <c r="DJ193" s="562">
        <v>0.95847554038680316</v>
      </c>
      <c r="DK193" s="558">
        <v>2078</v>
      </c>
      <c r="DL193" s="559">
        <v>1815</v>
      </c>
      <c r="DM193" s="559">
        <v>1680</v>
      </c>
      <c r="DN193" s="559">
        <v>1216</v>
      </c>
      <c r="DO193" s="560">
        <v>1107</v>
      </c>
      <c r="DP193" s="561">
        <f t="shared" si="352"/>
        <v>0.66997245179063358</v>
      </c>
      <c r="DQ193" s="664">
        <f t="shared" si="353"/>
        <v>0.72380952380952379</v>
      </c>
      <c r="DR193" s="561">
        <v>0.89862258953168039</v>
      </c>
      <c r="DS193" s="562">
        <v>0.97083333333333333</v>
      </c>
      <c r="DT193" s="558">
        <v>2255</v>
      </c>
      <c r="DU193" s="559">
        <v>1941</v>
      </c>
      <c r="DV193" s="559">
        <v>1797</v>
      </c>
      <c r="DW193" s="559">
        <v>1333</v>
      </c>
      <c r="DX193" s="560">
        <v>1191</v>
      </c>
      <c r="DY193" s="561">
        <f t="shared" si="354"/>
        <v>0.6867594023699124</v>
      </c>
      <c r="DZ193" s="664">
        <f t="shared" si="355"/>
        <v>0.74179187534780189</v>
      </c>
      <c r="EA193" s="561">
        <v>0.90571870170015456</v>
      </c>
      <c r="EB193" s="562">
        <v>0.97829716193656091</v>
      </c>
    </row>
    <row r="194" spans="1:132" s="2" customFormat="1" ht="25.5" x14ac:dyDescent="0.25">
      <c r="A194" s="575" t="s">
        <v>462</v>
      </c>
      <c r="B194" s="576" t="s">
        <v>463</v>
      </c>
      <c r="C194" s="520" t="s">
        <v>199</v>
      </c>
      <c r="D194" s="558">
        <v>1262</v>
      </c>
      <c r="E194" s="559">
        <v>1209</v>
      </c>
      <c r="F194" s="559">
        <v>1206</v>
      </c>
      <c r="G194" s="559">
        <v>1088</v>
      </c>
      <c r="H194" s="560">
        <v>63</v>
      </c>
      <c r="I194" s="561">
        <f t="shared" si="250"/>
        <v>0.89991728701406126</v>
      </c>
      <c r="J194" s="562">
        <f t="shared" si="251"/>
        <v>0.9021558872305141</v>
      </c>
      <c r="K194" s="558">
        <v>2233</v>
      </c>
      <c r="L194" s="559">
        <v>2058</v>
      </c>
      <c r="M194" s="559">
        <v>2058</v>
      </c>
      <c r="N194" s="559">
        <v>1543</v>
      </c>
      <c r="O194" s="560">
        <v>1252</v>
      </c>
      <c r="P194" s="561">
        <f t="shared" si="326"/>
        <v>0.74975704567541301</v>
      </c>
      <c r="Q194" s="562">
        <f t="shared" si="327"/>
        <v>0.74975704567541301</v>
      </c>
      <c r="R194" s="558">
        <v>3080</v>
      </c>
      <c r="S194" s="559">
        <v>2829</v>
      </c>
      <c r="T194" s="559">
        <v>2829</v>
      </c>
      <c r="U194" s="559">
        <v>2343</v>
      </c>
      <c r="V194" s="560">
        <v>1817</v>
      </c>
      <c r="W194" s="561">
        <f t="shared" si="248"/>
        <v>0.82820784729586427</v>
      </c>
      <c r="X194" s="562">
        <f t="shared" si="249"/>
        <v>0.82820784729586427</v>
      </c>
      <c r="Y194" s="558">
        <v>2849</v>
      </c>
      <c r="Z194" s="559">
        <v>2597</v>
      </c>
      <c r="AA194" s="559">
        <v>2597</v>
      </c>
      <c r="AB194" s="559">
        <v>2124</v>
      </c>
      <c r="AC194" s="560">
        <v>1443</v>
      </c>
      <c r="AD194" s="561">
        <f t="shared" si="328"/>
        <v>0.81786676934924918</v>
      </c>
      <c r="AE194" s="562">
        <f t="shared" si="329"/>
        <v>0.81786676934924918</v>
      </c>
      <c r="AF194" s="558">
        <v>3331</v>
      </c>
      <c r="AG194" s="559">
        <v>2947</v>
      </c>
      <c r="AH194" s="559">
        <v>2947</v>
      </c>
      <c r="AI194" s="559">
        <v>2303</v>
      </c>
      <c r="AJ194" s="560">
        <v>1591</v>
      </c>
      <c r="AK194" s="561">
        <f t="shared" si="330"/>
        <v>0.78147268408551074</v>
      </c>
      <c r="AL194" s="562">
        <f t="shared" si="331"/>
        <v>0.78147268408551074</v>
      </c>
      <c r="AM194" s="558">
        <v>2273</v>
      </c>
      <c r="AN194" s="559">
        <v>2076</v>
      </c>
      <c r="AO194" s="559">
        <v>2076</v>
      </c>
      <c r="AP194" s="559">
        <v>1985</v>
      </c>
      <c r="AQ194" s="560">
        <v>1321</v>
      </c>
      <c r="AR194" s="561">
        <f t="shared" si="332"/>
        <v>0.95616570327552985</v>
      </c>
      <c r="AS194" s="562">
        <f t="shared" si="333"/>
        <v>0.95616570327552985</v>
      </c>
      <c r="AT194" s="558">
        <v>2017</v>
      </c>
      <c r="AU194" s="559">
        <v>1886</v>
      </c>
      <c r="AV194" s="559">
        <v>1886</v>
      </c>
      <c r="AW194" s="559">
        <v>1810</v>
      </c>
      <c r="AX194" s="560">
        <v>1280</v>
      </c>
      <c r="AY194" s="561">
        <f t="shared" si="334"/>
        <v>0.95970307529162246</v>
      </c>
      <c r="AZ194" s="562">
        <f t="shared" si="335"/>
        <v>0.95970307529162246</v>
      </c>
      <c r="BA194" s="558">
        <v>1844</v>
      </c>
      <c r="BB194" s="559">
        <v>1735</v>
      </c>
      <c r="BC194" s="559">
        <v>1735</v>
      </c>
      <c r="BD194" s="559">
        <v>1716</v>
      </c>
      <c r="BE194" s="560">
        <v>1285</v>
      </c>
      <c r="BF194" s="561">
        <f t="shared" si="336"/>
        <v>0.98904899135446689</v>
      </c>
      <c r="BG194" s="562">
        <f t="shared" si="337"/>
        <v>0.98904899135446689</v>
      </c>
      <c r="BH194" s="558">
        <v>1661</v>
      </c>
      <c r="BI194" s="559">
        <v>1565</v>
      </c>
      <c r="BJ194" s="559">
        <v>1565</v>
      </c>
      <c r="BK194" s="559">
        <v>1547</v>
      </c>
      <c r="BL194" s="560">
        <v>1097</v>
      </c>
      <c r="BM194" s="561">
        <f t="shared" si="338"/>
        <v>0.98849840255591059</v>
      </c>
      <c r="BN194" s="562">
        <f t="shared" si="339"/>
        <v>0.98849840255591059</v>
      </c>
      <c r="BO194" s="558">
        <v>1570</v>
      </c>
      <c r="BP194" s="559">
        <v>1498</v>
      </c>
      <c r="BQ194" s="559">
        <v>1498</v>
      </c>
      <c r="BR194" s="559">
        <v>1491</v>
      </c>
      <c r="BS194" s="560">
        <v>1022</v>
      </c>
      <c r="BT194" s="561">
        <f t="shared" si="340"/>
        <v>0.99532710280373837</v>
      </c>
      <c r="BU194" s="562">
        <f t="shared" si="341"/>
        <v>0.99532710280373837</v>
      </c>
      <c r="BV194" s="558">
        <v>1743</v>
      </c>
      <c r="BW194" s="559">
        <v>1681</v>
      </c>
      <c r="BX194" s="559">
        <v>1681</v>
      </c>
      <c r="BY194" s="559">
        <v>1680</v>
      </c>
      <c r="BZ194" s="560">
        <v>1232</v>
      </c>
      <c r="CA194" s="561">
        <f t="shared" si="342"/>
        <v>0.99940511600237958</v>
      </c>
      <c r="CB194" s="562">
        <f t="shared" si="343"/>
        <v>0.99940511600237958</v>
      </c>
      <c r="CC194" s="558">
        <v>1905</v>
      </c>
      <c r="CD194" s="559">
        <v>1806</v>
      </c>
      <c r="CE194" s="559">
        <v>1806</v>
      </c>
      <c r="CF194" s="559">
        <v>1806</v>
      </c>
      <c r="CG194" s="560">
        <v>1504</v>
      </c>
      <c r="CH194" s="561">
        <f t="shared" si="344"/>
        <v>1</v>
      </c>
      <c r="CI194" s="562">
        <f t="shared" si="345"/>
        <v>1</v>
      </c>
      <c r="CJ194" s="558">
        <v>2220</v>
      </c>
      <c r="CK194" s="559">
        <v>2065</v>
      </c>
      <c r="CL194" s="559">
        <v>2065</v>
      </c>
      <c r="CM194" s="559">
        <v>2020</v>
      </c>
      <c r="CN194" s="560">
        <v>1535</v>
      </c>
      <c r="CO194" s="561">
        <f t="shared" si="346"/>
        <v>0.97820823244552058</v>
      </c>
      <c r="CP194" s="664">
        <f t="shared" si="347"/>
        <v>0.97820823244552058</v>
      </c>
      <c r="CQ194" s="561">
        <v>0.97820823244552058</v>
      </c>
      <c r="CR194" s="562">
        <v>0.97820823244552058</v>
      </c>
      <c r="CS194" s="558">
        <v>2782</v>
      </c>
      <c r="CT194" s="559">
        <v>2317</v>
      </c>
      <c r="CU194" s="559">
        <v>2317</v>
      </c>
      <c r="CV194" s="559">
        <v>1475</v>
      </c>
      <c r="CW194" s="560">
        <v>1148</v>
      </c>
      <c r="CX194" s="561">
        <f t="shared" si="348"/>
        <v>0.63659905049633148</v>
      </c>
      <c r="CY194" s="664">
        <f t="shared" si="349"/>
        <v>0.63659905049633148</v>
      </c>
      <c r="CZ194" s="561">
        <v>0.63659905049633148</v>
      </c>
      <c r="DA194" s="562">
        <v>0.63659905049633148</v>
      </c>
      <c r="DB194" s="558">
        <v>2726</v>
      </c>
      <c r="DC194" s="559">
        <v>2204</v>
      </c>
      <c r="DD194" s="559">
        <v>2204</v>
      </c>
      <c r="DE194" s="559">
        <v>1574</v>
      </c>
      <c r="DF194" s="560">
        <v>1172</v>
      </c>
      <c r="DG194" s="561">
        <f t="shared" si="350"/>
        <v>0.71415607985480944</v>
      </c>
      <c r="DH194" s="664">
        <f t="shared" si="351"/>
        <v>0.71415607985480944</v>
      </c>
      <c r="DI194" s="561">
        <v>0.71415607985480944</v>
      </c>
      <c r="DJ194" s="562">
        <v>0.71415607985480944</v>
      </c>
      <c r="DK194" s="558">
        <v>2920</v>
      </c>
      <c r="DL194" s="559">
        <v>2331</v>
      </c>
      <c r="DM194" s="559">
        <v>2331</v>
      </c>
      <c r="DN194" s="559">
        <v>1821</v>
      </c>
      <c r="DO194" s="560">
        <v>1292</v>
      </c>
      <c r="DP194" s="561">
        <f t="shared" si="352"/>
        <v>0.78120978120978124</v>
      </c>
      <c r="DQ194" s="664">
        <f t="shared" si="353"/>
        <v>0.78120978120978124</v>
      </c>
      <c r="DR194" s="561">
        <v>0.78120978120978124</v>
      </c>
      <c r="DS194" s="562">
        <v>0.78120978120978124</v>
      </c>
      <c r="DT194" s="558">
        <v>3114</v>
      </c>
      <c r="DU194" s="559">
        <v>2548</v>
      </c>
      <c r="DV194" s="559">
        <v>2548</v>
      </c>
      <c r="DW194" s="559">
        <v>2108</v>
      </c>
      <c r="DX194" s="560">
        <v>1511</v>
      </c>
      <c r="DY194" s="561">
        <f t="shared" si="354"/>
        <v>0.82731554160125587</v>
      </c>
      <c r="DZ194" s="664">
        <f t="shared" si="355"/>
        <v>0.82731554160125587</v>
      </c>
      <c r="EA194" s="561">
        <v>0.82731554160125587</v>
      </c>
      <c r="EB194" s="562">
        <v>0.82731554160125587</v>
      </c>
    </row>
    <row r="195" spans="1:132" s="2" customFormat="1" x14ac:dyDescent="0.25">
      <c r="A195" s="577" t="s">
        <v>599</v>
      </c>
      <c r="B195" s="489" t="s">
        <v>464</v>
      </c>
      <c r="C195" s="565" t="s">
        <v>199</v>
      </c>
      <c r="D195" s="558">
        <v>854</v>
      </c>
      <c r="E195" s="559">
        <v>843</v>
      </c>
      <c r="F195" s="559">
        <v>843</v>
      </c>
      <c r="G195" s="559">
        <v>835</v>
      </c>
      <c r="H195" s="560">
        <v>631</v>
      </c>
      <c r="I195" s="561">
        <f t="shared" si="250"/>
        <v>0.99051008303677346</v>
      </c>
      <c r="J195" s="562">
        <f t="shared" si="251"/>
        <v>0.99051008303677346</v>
      </c>
      <c r="K195" s="558">
        <v>530</v>
      </c>
      <c r="L195" s="559">
        <v>527</v>
      </c>
      <c r="M195" s="559">
        <v>527</v>
      </c>
      <c r="N195" s="559">
        <v>527</v>
      </c>
      <c r="O195" s="560">
        <v>527</v>
      </c>
      <c r="P195" s="561">
        <f t="shared" si="326"/>
        <v>1</v>
      </c>
      <c r="Q195" s="562">
        <f t="shared" si="327"/>
        <v>1</v>
      </c>
      <c r="R195" s="558">
        <v>589</v>
      </c>
      <c r="S195" s="559">
        <v>584</v>
      </c>
      <c r="T195" s="559">
        <v>584</v>
      </c>
      <c r="U195" s="559">
        <v>567</v>
      </c>
      <c r="V195" s="560">
        <v>426</v>
      </c>
      <c r="W195" s="561">
        <f t="shared" si="248"/>
        <v>0.97089041095890416</v>
      </c>
      <c r="X195" s="562">
        <f t="shared" si="249"/>
        <v>0.97089041095890416</v>
      </c>
      <c r="Y195" s="558">
        <v>409</v>
      </c>
      <c r="Z195" s="559">
        <v>404</v>
      </c>
      <c r="AA195" s="559">
        <v>403</v>
      </c>
      <c r="AB195" s="559">
        <v>393</v>
      </c>
      <c r="AC195" s="560">
        <v>298</v>
      </c>
      <c r="AD195" s="561">
        <f t="shared" si="328"/>
        <v>0.97277227722772275</v>
      </c>
      <c r="AE195" s="562">
        <f t="shared" si="329"/>
        <v>0.97518610421836227</v>
      </c>
      <c r="AF195" s="558">
        <v>282</v>
      </c>
      <c r="AG195" s="559">
        <v>281</v>
      </c>
      <c r="AH195" s="559">
        <v>281</v>
      </c>
      <c r="AI195" s="559">
        <v>274</v>
      </c>
      <c r="AJ195" s="560">
        <v>220</v>
      </c>
      <c r="AK195" s="561">
        <f t="shared" si="330"/>
        <v>0.97508896797153022</v>
      </c>
      <c r="AL195" s="562">
        <f t="shared" si="331"/>
        <v>0.97508896797153022</v>
      </c>
      <c r="AM195" s="558">
        <v>145</v>
      </c>
      <c r="AN195" s="559">
        <v>144</v>
      </c>
      <c r="AO195" s="559">
        <v>144</v>
      </c>
      <c r="AP195" s="559">
        <v>142</v>
      </c>
      <c r="AQ195" s="560">
        <v>112</v>
      </c>
      <c r="AR195" s="561">
        <f t="shared" si="332"/>
        <v>0.98611111111111116</v>
      </c>
      <c r="AS195" s="562">
        <f t="shared" si="333"/>
        <v>0.98611111111111116</v>
      </c>
      <c r="AT195" s="558">
        <v>164</v>
      </c>
      <c r="AU195" s="559">
        <v>163</v>
      </c>
      <c r="AV195" s="559">
        <v>163</v>
      </c>
      <c r="AW195" s="559">
        <v>160</v>
      </c>
      <c r="AX195" s="560">
        <v>135</v>
      </c>
      <c r="AY195" s="561">
        <f t="shared" si="334"/>
        <v>0.98159509202453987</v>
      </c>
      <c r="AZ195" s="562">
        <f t="shared" si="335"/>
        <v>0.98159509202453987</v>
      </c>
      <c r="BA195" s="558">
        <v>173</v>
      </c>
      <c r="BB195" s="559">
        <v>173</v>
      </c>
      <c r="BC195" s="559">
        <v>173</v>
      </c>
      <c r="BD195" s="559">
        <v>173</v>
      </c>
      <c r="BE195" s="560">
        <v>142</v>
      </c>
      <c r="BF195" s="561">
        <f t="shared" si="336"/>
        <v>1</v>
      </c>
      <c r="BG195" s="562">
        <f t="shared" si="337"/>
        <v>1</v>
      </c>
      <c r="BH195" s="558">
        <v>1080</v>
      </c>
      <c r="BI195" s="559">
        <v>1048</v>
      </c>
      <c r="BJ195" s="559">
        <v>1039</v>
      </c>
      <c r="BK195" s="559">
        <v>1035</v>
      </c>
      <c r="BL195" s="560">
        <v>897</v>
      </c>
      <c r="BM195" s="561">
        <f t="shared" si="338"/>
        <v>0.98759541984732824</v>
      </c>
      <c r="BN195" s="562">
        <f t="shared" si="339"/>
        <v>0.99615014436958615</v>
      </c>
      <c r="BO195" s="558">
        <v>2173</v>
      </c>
      <c r="BP195" s="559">
        <v>2163</v>
      </c>
      <c r="BQ195" s="559">
        <v>2163</v>
      </c>
      <c r="BR195" s="559">
        <v>1741</v>
      </c>
      <c r="BS195" s="560">
        <v>1630</v>
      </c>
      <c r="BT195" s="561">
        <f t="shared" si="340"/>
        <v>0.80490060101710592</v>
      </c>
      <c r="BU195" s="562">
        <f t="shared" si="341"/>
        <v>0.80490060101710592</v>
      </c>
      <c r="BV195" s="558">
        <v>2152</v>
      </c>
      <c r="BW195" s="559">
        <v>2143</v>
      </c>
      <c r="BX195" s="559">
        <v>2143</v>
      </c>
      <c r="BY195" s="559">
        <v>1612</v>
      </c>
      <c r="BZ195" s="560">
        <v>1514</v>
      </c>
      <c r="CA195" s="561">
        <f t="shared" si="342"/>
        <v>0.75221651889874008</v>
      </c>
      <c r="CB195" s="562">
        <f t="shared" si="343"/>
        <v>0.75221651889874008</v>
      </c>
      <c r="CC195" s="558">
        <v>2154</v>
      </c>
      <c r="CD195" s="559">
        <v>2154</v>
      </c>
      <c r="CE195" s="559">
        <v>2154</v>
      </c>
      <c r="CF195" s="559">
        <v>1492</v>
      </c>
      <c r="CG195" s="560">
        <v>1452</v>
      </c>
      <c r="CH195" s="561">
        <f t="shared" si="344"/>
        <v>0.69266480965645316</v>
      </c>
      <c r="CI195" s="562">
        <f t="shared" si="345"/>
        <v>0.69266480965645316</v>
      </c>
      <c r="CJ195" s="558">
        <v>1886</v>
      </c>
      <c r="CK195" s="559">
        <v>1886</v>
      </c>
      <c r="CL195" s="559">
        <v>1886</v>
      </c>
      <c r="CM195" s="559">
        <v>1753</v>
      </c>
      <c r="CN195" s="560">
        <v>1711</v>
      </c>
      <c r="CO195" s="561">
        <f t="shared" si="346"/>
        <v>0.92948038176033931</v>
      </c>
      <c r="CP195" s="664">
        <f t="shared" si="347"/>
        <v>0.92948038176033931</v>
      </c>
      <c r="CQ195" s="561">
        <v>0.99522799575821841</v>
      </c>
      <c r="CR195" s="562">
        <v>0.99522799575821841</v>
      </c>
      <c r="CS195" s="558">
        <v>1646</v>
      </c>
      <c r="CT195" s="559">
        <v>1646</v>
      </c>
      <c r="CU195" s="559">
        <v>1646</v>
      </c>
      <c r="CV195" s="559">
        <v>1582</v>
      </c>
      <c r="CW195" s="560">
        <v>1428</v>
      </c>
      <c r="CX195" s="561">
        <f t="shared" si="348"/>
        <v>0.96111786148238154</v>
      </c>
      <c r="CY195" s="664">
        <f t="shared" si="349"/>
        <v>0.96111786148238154</v>
      </c>
      <c r="CZ195" s="561">
        <v>0.99939246658566216</v>
      </c>
      <c r="DA195" s="562">
        <v>0.99939246658566216</v>
      </c>
      <c r="DB195" s="558">
        <v>1631</v>
      </c>
      <c r="DC195" s="559">
        <v>1588</v>
      </c>
      <c r="DD195" s="559">
        <v>1588</v>
      </c>
      <c r="DE195" s="559">
        <v>1587</v>
      </c>
      <c r="DF195" s="560">
        <v>1278</v>
      </c>
      <c r="DG195" s="561">
        <f t="shared" si="350"/>
        <v>0.99937027707808568</v>
      </c>
      <c r="DH195" s="664">
        <f t="shared" si="351"/>
        <v>0.99937027707808568</v>
      </c>
      <c r="DI195" s="561">
        <v>1</v>
      </c>
      <c r="DJ195" s="562">
        <v>1</v>
      </c>
      <c r="DK195" s="558">
        <v>2415</v>
      </c>
      <c r="DL195" s="559">
        <v>2309</v>
      </c>
      <c r="DM195" s="559">
        <v>2309</v>
      </c>
      <c r="DN195" s="559">
        <v>2306</v>
      </c>
      <c r="DO195" s="560">
        <v>1888</v>
      </c>
      <c r="DP195" s="561">
        <f t="shared" si="352"/>
        <v>0.99870073624945865</v>
      </c>
      <c r="DQ195" s="664">
        <f t="shared" si="353"/>
        <v>0.99870073624945865</v>
      </c>
      <c r="DR195" s="561">
        <v>0.99913382416630581</v>
      </c>
      <c r="DS195" s="562">
        <v>0.99913382416630581</v>
      </c>
      <c r="DT195" s="558">
        <v>2692</v>
      </c>
      <c r="DU195" s="559">
        <v>2605</v>
      </c>
      <c r="DV195" s="559">
        <v>2605</v>
      </c>
      <c r="DW195" s="559">
        <v>2524</v>
      </c>
      <c r="DX195" s="560">
        <v>2134</v>
      </c>
      <c r="DY195" s="561">
        <f t="shared" si="354"/>
        <v>0.96890595009596925</v>
      </c>
      <c r="DZ195" s="664">
        <f t="shared" si="355"/>
        <v>0.96890595009596925</v>
      </c>
      <c r="EA195" s="561">
        <v>0.96890595009596925</v>
      </c>
      <c r="EB195" s="562">
        <v>0.96890595009596925</v>
      </c>
    </row>
    <row r="196" spans="1:132" s="2" customFormat="1" ht="25.5" x14ac:dyDescent="0.25">
      <c r="A196" s="577" t="s">
        <v>465</v>
      </c>
      <c r="B196" s="489" t="s">
        <v>466</v>
      </c>
      <c r="C196" s="565" t="s">
        <v>199</v>
      </c>
      <c r="D196" s="558">
        <v>627</v>
      </c>
      <c r="E196" s="559">
        <v>622</v>
      </c>
      <c r="F196" s="559">
        <v>618</v>
      </c>
      <c r="G196" s="559">
        <v>531</v>
      </c>
      <c r="H196" s="560">
        <v>450</v>
      </c>
      <c r="I196" s="561">
        <f t="shared" si="250"/>
        <v>0.8536977491961415</v>
      </c>
      <c r="J196" s="562">
        <f t="shared" si="251"/>
        <v>0.85922330097087374</v>
      </c>
      <c r="K196" s="558">
        <v>479</v>
      </c>
      <c r="L196" s="559">
        <v>477</v>
      </c>
      <c r="M196" s="559">
        <v>477</v>
      </c>
      <c r="N196" s="559">
        <v>412</v>
      </c>
      <c r="O196" s="560">
        <v>359</v>
      </c>
      <c r="P196" s="561">
        <f t="shared" si="326"/>
        <v>0.86373165618448633</v>
      </c>
      <c r="Q196" s="562">
        <f t="shared" si="327"/>
        <v>0.86373165618448633</v>
      </c>
      <c r="R196" s="558">
        <v>378</v>
      </c>
      <c r="S196" s="559">
        <v>374</v>
      </c>
      <c r="T196" s="559">
        <v>372</v>
      </c>
      <c r="U196" s="559">
        <v>264</v>
      </c>
      <c r="V196" s="560">
        <v>238</v>
      </c>
      <c r="W196" s="561">
        <f t="shared" si="248"/>
        <v>0.70588235294117652</v>
      </c>
      <c r="X196" s="562">
        <f t="shared" si="249"/>
        <v>0.70967741935483875</v>
      </c>
      <c r="Y196" s="558">
        <v>92</v>
      </c>
      <c r="Z196" s="559">
        <v>91</v>
      </c>
      <c r="AA196" s="559">
        <v>91</v>
      </c>
      <c r="AB196" s="559">
        <v>68</v>
      </c>
      <c r="AC196" s="560">
        <v>62</v>
      </c>
      <c r="AD196" s="561">
        <f t="shared" si="328"/>
        <v>0.74725274725274726</v>
      </c>
      <c r="AE196" s="562">
        <f t="shared" si="329"/>
        <v>0.74725274725274726</v>
      </c>
      <c r="AF196" s="558">
        <v>161</v>
      </c>
      <c r="AG196" s="559">
        <v>160</v>
      </c>
      <c r="AH196" s="559">
        <v>160</v>
      </c>
      <c r="AI196" s="559">
        <v>124</v>
      </c>
      <c r="AJ196" s="560">
        <v>97</v>
      </c>
      <c r="AK196" s="561">
        <f t="shared" si="330"/>
        <v>0.77500000000000002</v>
      </c>
      <c r="AL196" s="562">
        <f t="shared" si="331"/>
        <v>0.77500000000000002</v>
      </c>
      <c r="AM196" s="558">
        <v>185</v>
      </c>
      <c r="AN196" s="559">
        <v>184</v>
      </c>
      <c r="AO196" s="559">
        <v>184</v>
      </c>
      <c r="AP196" s="559">
        <v>170</v>
      </c>
      <c r="AQ196" s="560">
        <v>165</v>
      </c>
      <c r="AR196" s="561">
        <f t="shared" si="332"/>
        <v>0.92391304347826086</v>
      </c>
      <c r="AS196" s="562">
        <f t="shared" si="333"/>
        <v>0.92391304347826086</v>
      </c>
      <c r="AT196" s="558">
        <v>117</v>
      </c>
      <c r="AU196" s="559">
        <v>117</v>
      </c>
      <c r="AV196" s="559">
        <v>117</v>
      </c>
      <c r="AW196" s="559">
        <v>89</v>
      </c>
      <c r="AX196" s="560">
        <v>86</v>
      </c>
      <c r="AY196" s="561">
        <f t="shared" si="334"/>
        <v>0.76068376068376065</v>
      </c>
      <c r="AZ196" s="562">
        <f t="shared" si="335"/>
        <v>0.76068376068376065</v>
      </c>
      <c r="BA196" s="558">
        <v>72</v>
      </c>
      <c r="BB196" s="559">
        <v>68</v>
      </c>
      <c r="BC196" s="559">
        <v>54</v>
      </c>
      <c r="BD196" s="559">
        <v>48</v>
      </c>
      <c r="BE196" s="560">
        <v>46</v>
      </c>
      <c r="BF196" s="561">
        <f t="shared" si="336"/>
        <v>0.70588235294117652</v>
      </c>
      <c r="BG196" s="562">
        <f t="shared" si="337"/>
        <v>0.88888888888888884</v>
      </c>
      <c r="BH196" s="558">
        <v>79</v>
      </c>
      <c r="BI196" s="559">
        <v>79</v>
      </c>
      <c r="BJ196" s="559">
        <v>79</v>
      </c>
      <c r="BK196" s="559">
        <v>66</v>
      </c>
      <c r="BL196" s="560">
        <v>65</v>
      </c>
      <c r="BM196" s="561">
        <f t="shared" si="338"/>
        <v>0.83544303797468356</v>
      </c>
      <c r="BN196" s="562">
        <f t="shared" si="339"/>
        <v>0.83544303797468356</v>
      </c>
      <c r="BO196" s="558" t="s">
        <v>67</v>
      </c>
      <c r="BP196" s="559" t="s">
        <v>67</v>
      </c>
      <c r="BQ196" s="559" t="s">
        <v>67</v>
      </c>
      <c r="BR196" s="559" t="s">
        <v>67</v>
      </c>
      <c r="BS196" s="560" t="s">
        <v>67</v>
      </c>
      <c r="BT196" s="561" t="s">
        <v>67</v>
      </c>
      <c r="BU196" s="562" t="s">
        <v>67</v>
      </c>
      <c r="BV196" s="558" t="s">
        <v>67</v>
      </c>
      <c r="BW196" s="559" t="s">
        <v>67</v>
      </c>
      <c r="BX196" s="559" t="s">
        <v>67</v>
      </c>
      <c r="BY196" s="559" t="s">
        <v>67</v>
      </c>
      <c r="BZ196" s="560" t="s">
        <v>67</v>
      </c>
      <c r="CA196" s="561" t="s">
        <v>67</v>
      </c>
      <c r="CB196" s="562" t="s">
        <v>67</v>
      </c>
      <c r="CC196" s="558" t="s">
        <v>67</v>
      </c>
      <c r="CD196" s="559" t="s">
        <v>67</v>
      </c>
      <c r="CE196" s="559" t="s">
        <v>67</v>
      </c>
      <c r="CF196" s="559" t="s">
        <v>67</v>
      </c>
      <c r="CG196" s="560" t="s">
        <v>67</v>
      </c>
      <c r="CH196" s="561" t="s">
        <v>67</v>
      </c>
      <c r="CI196" s="562" t="s">
        <v>67</v>
      </c>
      <c r="CJ196" s="558" t="s">
        <v>67</v>
      </c>
      <c r="CK196" s="559" t="s">
        <v>67</v>
      </c>
      <c r="CL196" s="559" t="s">
        <v>67</v>
      </c>
      <c r="CM196" s="559" t="s">
        <v>67</v>
      </c>
      <c r="CN196" s="560" t="s">
        <v>67</v>
      </c>
      <c r="CO196" s="561" t="s">
        <v>67</v>
      </c>
      <c r="CP196" s="664" t="s">
        <v>67</v>
      </c>
      <c r="CQ196" s="561" t="s">
        <v>67</v>
      </c>
      <c r="CR196" s="562" t="s">
        <v>67</v>
      </c>
      <c r="CS196" s="558" t="s">
        <v>67</v>
      </c>
      <c r="CT196" s="559" t="s">
        <v>67</v>
      </c>
      <c r="CU196" s="559" t="s">
        <v>67</v>
      </c>
      <c r="CV196" s="559" t="s">
        <v>67</v>
      </c>
      <c r="CW196" s="560" t="s">
        <v>67</v>
      </c>
      <c r="CX196" s="561" t="s">
        <v>67</v>
      </c>
      <c r="CY196" s="664" t="s">
        <v>67</v>
      </c>
      <c r="CZ196" s="561" t="s">
        <v>67</v>
      </c>
      <c r="DA196" s="562" t="s">
        <v>67</v>
      </c>
      <c r="DB196" s="558" t="s">
        <v>67</v>
      </c>
      <c r="DC196" s="559" t="s">
        <v>67</v>
      </c>
      <c r="DD196" s="559" t="s">
        <v>67</v>
      </c>
      <c r="DE196" s="559" t="s">
        <v>67</v>
      </c>
      <c r="DF196" s="560" t="s">
        <v>67</v>
      </c>
      <c r="DG196" s="561" t="s">
        <v>67</v>
      </c>
      <c r="DH196" s="664" t="s">
        <v>67</v>
      </c>
      <c r="DI196" s="561" t="s">
        <v>67</v>
      </c>
      <c r="DJ196" s="562" t="s">
        <v>67</v>
      </c>
      <c r="DK196" s="558" t="s">
        <v>67</v>
      </c>
      <c r="DL196" s="559" t="s">
        <v>67</v>
      </c>
      <c r="DM196" s="559" t="s">
        <v>67</v>
      </c>
      <c r="DN196" s="559" t="s">
        <v>67</v>
      </c>
      <c r="DO196" s="560" t="s">
        <v>67</v>
      </c>
      <c r="DP196" s="561" t="s">
        <v>67</v>
      </c>
      <c r="DQ196" s="664" t="s">
        <v>67</v>
      </c>
      <c r="DR196" s="561" t="s">
        <v>67</v>
      </c>
      <c r="DS196" s="562" t="s">
        <v>67</v>
      </c>
      <c r="DT196" s="558" t="s">
        <v>67</v>
      </c>
      <c r="DU196" s="559" t="s">
        <v>67</v>
      </c>
      <c r="DV196" s="559" t="s">
        <v>67</v>
      </c>
      <c r="DW196" s="559" t="s">
        <v>67</v>
      </c>
      <c r="DX196" s="560" t="s">
        <v>67</v>
      </c>
      <c r="DY196" s="561" t="s">
        <v>67</v>
      </c>
      <c r="DZ196" s="664" t="s">
        <v>67</v>
      </c>
      <c r="EA196" s="561" t="s">
        <v>67</v>
      </c>
      <c r="EB196" s="562" t="s">
        <v>67</v>
      </c>
    </row>
    <row r="197" spans="1:132" s="2" customFormat="1" x14ac:dyDescent="0.25">
      <c r="A197" s="577" t="s">
        <v>565</v>
      </c>
      <c r="B197" s="489" t="s">
        <v>467</v>
      </c>
      <c r="C197" s="565" t="s">
        <v>199</v>
      </c>
      <c r="D197" s="558">
        <v>566</v>
      </c>
      <c r="E197" s="559">
        <v>566</v>
      </c>
      <c r="F197" s="559">
        <v>566</v>
      </c>
      <c r="G197" s="559">
        <v>566</v>
      </c>
      <c r="H197" s="560">
        <v>566</v>
      </c>
      <c r="I197" s="561">
        <f t="shared" si="250"/>
        <v>1</v>
      </c>
      <c r="J197" s="562">
        <f t="shared" si="251"/>
        <v>1</v>
      </c>
      <c r="K197" s="558">
        <v>773</v>
      </c>
      <c r="L197" s="559">
        <v>621</v>
      </c>
      <c r="M197" s="559">
        <v>621</v>
      </c>
      <c r="N197" s="559">
        <v>620</v>
      </c>
      <c r="O197" s="560">
        <v>439</v>
      </c>
      <c r="P197" s="561">
        <f t="shared" si="326"/>
        <v>0.99838969404186795</v>
      </c>
      <c r="Q197" s="562">
        <f t="shared" si="327"/>
        <v>0.99838969404186795</v>
      </c>
      <c r="R197" s="558">
        <v>399</v>
      </c>
      <c r="S197" s="559">
        <v>384</v>
      </c>
      <c r="T197" s="559">
        <v>384</v>
      </c>
      <c r="U197" s="559">
        <v>379</v>
      </c>
      <c r="V197" s="560">
        <v>238</v>
      </c>
      <c r="W197" s="561">
        <f t="shared" si="248"/>
        <v>0.98697916666666663</v>
      </c>
      <c r="X197" s="562">
        <f t="shared" si="249"/>
        <v>0.98697916666666663</v>
      </c>
      <c r="Y197" s="558">
        <v>410</v>
      </c>
      <c r="Z197" s="559">
        <v>385</v>
      </c>
      <c r="AA197" s="559">
        <v>194</v>
      </c>
      <c r="AB197" s="559">
        <v>194</v>
      </c>
      <c r="AC197" s="560">
        <v>194</v>
      </c>
      <c r="AD197" s="561">
        <f t="shared" si="328"/>
        <v>0.50389610389610384</v>
      </c>
      <c r="AE197" s="562">
        <f t="shared" si="329"/>
        <v>1</v>
      </c>
      <c r="AF197" s="558">
        <v>427</v>
      </c>
      <c r="AG197" s="559">
        <v>407</v>
      </c>
      <c r="AH197" s="559">
        <v>271</v>
      </c>
      <c r="AI197" s="559">
        <v>271</v>
      </c>
      <c r="AJ197" s="560">
        <v>224</v>
      </c>
      <c r="AK197" s="561">
        <f t="shared" si="330"/>
        <v>0.66584766584766586</v>
      </c>
      <c r="AL197" s="562">
        <f t="shared" si="331"/>
        <v>1</v>
      </c>
      <c r="AM197" s="558">
        <v>329</v>
      </c>
      <c r="AN197" s="559">
        <v>302</v>
      </c>
      <c r="AO197" s="559">
        <v>202</v>
      </c>
      <c r="AP197" s="559">
        <v>202</v>
      </c>
      <c r="AQ197" s="560">
        <v>160</v>
      </c>
      <c r="AR197" s="561">
        <f t="shared" si="332"/>
        <v>0.66887417218543044</v>
      </c>
      <c r="AS197" s="562">
        <f t="shared" si="333"/>
        <v>1</v>
      </c>
      <c r="AT197" s="558">
        <v>366</v>
      </c>
      <c r="AU197" s="559">
        <v>344</v>
      </c>
      <c r="AV197" s="559">
        <v>224</v>
      </c>
      <c r="AW197" s="559">
        <v>224</v>
      </c>
      <c r="AX197" s="560">
        <v>183</v>
      </c>
      <c r="AY197" s="561">
        <f t="shared" si="334"/>
        <v>0.65116279069767447</v>
      </c>
      <c r="AZ197" s="562">
        <f t="shared" si="335"/>
        <v>1</v>
      </c>
      <c r="BA197" s="558">
        <v>395</v>
      </c>
      <c r="BB197" s="559">
        <v>383</v>
      </c>
      <c r="BC197" s="559">
        <v>267</v>
      </c>
      <c r="BD197" s="559">
        <v>267</v>
      </c>
      <c r="BE197" s="560">
        <v>214</v>
      </c>
      <c r="BF197" s="561">
        <f t="shared" si="336"/>
        <v>0.69712793733681466</v>
      </c>
      <c r="BG197" s="562">
        <f t="shared" si="337"/>
        <v>1</v>
      </c>
      <c r="BH197" s="558">
        <v>407</v>
      </c>
      <c r="BI197" s="559">
        <v>376</v>
      </c>
      <c r="BJ197" s="559">
        <v>241</v>
      </c>
      <c r="BK197" s="559">
        <v>241</v>
      </c>
      <c r="BL197" s="560">
        <v>181</v>
      </c>
      <c r="BM197" s="561">
        <f t="shared" si="338"/>
        <v>0.64095744680851063</v>
      </c>
      <c r="BN197" s="562">
        <f t="shared" si="339"/>
        <v>1</v>
      </c>
      <c r="BO197" s="558">
        <v>339</v>
      </c>
      <c r="BP197" s="559">
        <v>325</v>
      </c>
      <c r="BQ197" s="559">
        <v>220</v>
      </c>
      <c r="BR197" s="559">
        <v>220</v>
      </c>
      <c r="BS197" s="560">
        <v>164</v>
      </c>
      <c r="BT197" s="561">
        <f t="shared" si="340"/>
        <v>0.67692307692307696</v>
      </c>
      <c r="BU197" s="562">
        <f t="shared" si="341"/>
        <v>1</v>
      </c>
      <c r="BV197" s="558">
        <v>299</v>
      </c>
      <c r="BW197" s="559">
        <v>289</v>
      </c>
      <c r="BX197" s="559">
        <v>201</v>
      </c>
      <c r="BY197" s="559">
        <v>201</v>
      </c>
      <c r="BZ197" s="560">
        <v>153</v>
      </c>
      <c r="CA197" s="561">
        <f t="shared" ref="CA197" si="356">BY197/BW197</f>
        <v>0.69550173010380623</v>
      </c>
      <c r="CB197" s="562">
        <f t="shared" ref="CB197" si="357">BY197/BX197</f>
        <v>1</v>
      </c>
      <c r="CC197" s="558">
        <v>224</v>
      </c>
      <c r="CD197" s="559">
        <v>220</v>
      </c>
      <c r="CE197" s="559">
        <v>153</v>
      </c>
      <c r="CF197" s="559">
        <v>153</v>
      </c>
      <c r="CG197" s="560">
        <v>108</v>
      </c>
      <c r="CH197" s="561">
        <f t="shared" ref="CH197" si="358">CF197/CD197</f>
        <v>0.69545454545454544</v>
      </c>
      <c r="CI197" s="562">
        <f t="shared" ref="CI197" si="359">CF197/CE197</f>
        <v>1</v>
      </c>
      <c r="CJ197" s="558">
        <v>184</v>
      </c>
      <c r="CK197" s="559">
        <v>182</v>
      </c>
      <c r="CL197" s="559">
        <v>118</v>
      </c>
      <c r="CM197" s="559">
        <v>118</v>
      </c>
      <c r="CN197" s="560">
        <v>84</v>
      </c>
      <c r="CO197" s="561">
        <f t="shared" ref="CO197" si="360">CM197/CK197</f>
        <v>0.64835164835164838</v>
      </c>
      <c r="CP197" s="664">
        <f t="shared" ref="CP197" si="361">CM197/CL197</f>
        <v>1</v>
      </c>
      <c r="CQ197" s="561">
        <v>0.64835164835164838</v>
      </c>
      <c r="CR197" s="562">
        <v>1</v>
      </c>
      <c r="CS197" s="558">
        <v>514</v>
      </c>
      <c r="CT197" s="559">
        <v>492</v>
      </c>
      <c r="CU197" s="559">
        <v>205</v>
      </c>
      <c r="CV197" s="559">
        <v>205</v>
      </c>
      <c r="CW197" s="560">
        <v>170</v>
      </c>
      <c r="CX197" s="561">
        <f t="shared" ref="CX197" si="362">CV197/CT197</f>
        <v>0.41666666666666669</v>
      </c>
      <c r="CY197" s="664">
        <f t="shared" ref="CY197" si="363">CV197/CU197</f>
        <v>1</v>
      </c>
      <c r="CZ197" s="561">
        <v>0.41666666666666669</v>
      </c>
      <c r="DA197" s="562">
        <v>1</v>
      </c>
      <c r="DB197" s="558">
        <v>536</v>
      </c>
      <c r="DC197" s="559">
        <v>524</v>
      </c>
      <c r="DD197" s="559">
        <v>293</v>
      </c>
      <c r="DE197" s="559">
        <v>293</v>
      </c>
      <c r="DF197" s="560">
        <v>267</v>
      </c>
      <c r="DG197" s="561">
        <f t="shared" ref="DG197" si="364">DE197/DC197</f>
        <v>0.55916030534351147</v>
      </c>
      <c r="DH197" s="664">
        <f t="shared" ref="DH197" si="365">DE197/DD197</f>
        <v>1</v>
      </c>
      <c r="DI197" s="561">
        <v>0.55916030534351147</v>
      </c>
      <c r="DJ197" s="562">
        <v>1</v>
      </c>
      <c r="DK197" s="558">
        <v>481</v>
      </c>
      <c r="DL197" s="559">
        <v>469</v>
      </c>
      <c r="DM197" s="559">
        <v>229</v>
      </c>
      <c r="DN197" s="559">
        <v>229</v>
      </c>
      <c r="DO197" s="560">
        <v>208</v>
      </c>
      <c r="DP197" s="561">
        <f t="shared" ref="DP197" si="366">DN197/DL197</f>
        <v>0.48827292110874199</v>
      </c>
      <c r="DQ197" s="664">
        <f t="shared" ref="DQ197" si="367">DN197/DM197</f>
        <v>1</v>
      </c>
      <c r="DR197" s="561">
        <v>0.48827292110874199</v>
      </c>
      <c r="DS197" s="562">
        <v>1</v>
      </c>
      <c r="DT197" s="558">
        <v>106</v>
      </c>
      <c r="DU197" s="559">
        <v>106</v>
      </c>
      <c r="DV197" s="559">
        <v>16</v>
      </c>
      <c r="DW197" s="559">
        <v>16</v>
      </c>
      <c r="DX197" s="560">
        <v>15</v>
      </c>
      <c r="DY197" s="561">
        <f t="shared" ref="DY197" si="368">DW197/DU197</f>
        <v>0.15094339622641509</v>
      </c>
      <c r="DZ197" s="664">
        <f t="shared" ref="DZ197" si="369">DW197/DV197</f>
        <v>1</v>
      </c>
      <c r="EA197" s="561">
        <v>0.15094339622641509</v>
      </c>
      <c r="EB197" s="562">
        <v>1</v>
      </c>
    </row>
    <row r="198" spans="1:132" s="2" customFormat="1" ht="25.5" x14ac:dyDescent="0.25">
      <c r="A198" s="577" t="s">
        <v>468</v>
      </c>
      <c r="B198" s="489" t="s">
        <v>469</v>
      </c>
      <c r="C198" s="565" t="s">
        <v>199</v>
      </c>
      <c r="D198" s="558">
        <v>1565</v>
      </c>
      <c r="E198" s="559">
        <v>1562</v>
      </c>
      <c r="F198" s="559">
        <v>1562</v>
      </c>
      <c r="G198" s="559">
        <v>1217</v>
      </c>
      <c r="H198" s="560">
        <v>1111</v>
      </c>
      <c r="I198" s="561">
        <f t="shared" si="250"/>
        <v>0.77912932138284252</v>
      </c>
      <c r="J198" s="562">
        <f t="shared" si="251"/>
        <v>0.77912932138284252</v>
      </c>
      <c r="K198" s="558">
        <v>1306</v>
      </c>
      <c r="L198" s="559">
        <v>1300</v>
      </c>
      <c r="M198" s="559">
        <v>1300</v>
      </c>
      <c r="N198" s="559">
        <v>1005</v>
      </c>
      <c r="O198" s="560">
        <v>897</v>
      </c>
      <c r="P198" s="561">
        <f t="shared" si="326"/>
        <v>0.77307692307692311</v>
      </c>
      <c r="Q198" s="562">
        <f t="shared" si="327"/>
        <v>0.77307692307692311</v>
      </c>
      <c r="R198" s="558">
        <v>1220</v>
      </c>
      <c r="S198" s="559">
        <v>1200</v>
      </c>
      <c r="T198" s="559">
        <v>1200</v>
      </c>
      <c r="U198" s="559">
        <v>896</v>
      </c>
      <c r="V198" s="560">
        <v>802</v>
      </c>
      <c r="W198" s="561">
        <f t="shared" si="248"/>
        <v>0.7466666666666667</v>
      </c>
      <c r="X198" s="562">
        <f t="shared" si="249"/>
        <v>0.7466666666666667</v>
      </c>
      <c r="Y198" s="558">
        <v>1102</v>
      </c>
      <c r="Z198" s="559">
        <v>1090</v>
      </c>
      <c r="AA198" s="559">
        <v>799</v>
      </c>
      <c r="AB198" s="559">
        <v>799</v>
      </c>
      <c r="AC198" s="560">
        <v>704</v>
      </c>
      <c r="AD198" s="561">
        <f t="shared" si="328"/>
        <v>0.73302752293577977</v>
      </c>
      <c r="AE198" s="562">
        <f t="shared" si="329"/>
        <v>1</v>
      </c>
      <c r="AF198" s="558">
        <v>1080</v>
      </c>
      <c r="AG198" s="559">
        <v>1062</v>
      </c>
      <c r="AH198" s="559">
        <v>760</v>
      </c>
      <c r="AI198" s="559">
        <v>760</v>
      </c>
      <c r="AJ198" s="560">
        <v>681</v>
      </c>
      <c r="AK198" s="561">
        <f t="shared" si="330"/>
        <v>0.71563088512241058</v>
      </c>
      <c r="AL198" s="562">
        <f t="shared" si="331"/>
        <v>1</v>
      </c>
      <c r="AM198" s="558">
        <v>882</v>
      </c>
      <c r="AN198" s="559">
        <v>857</v>
      </c>
      <c r="AO198" s="559">
        <v>627</v>
      </c>
      <c r="AP198" s="559">
        <v>627</v>
      </c>
      <c r="AQ198" s="560">
        <v>559</v>
      </c>
      <c r="AR198" s="561">
        <f t="shared" si="332"/>
        <v>0.73162193698949829</v>
      </c>
      <c r="AS198" s="562">
        <f t="shared" si="333"/>
        <v>1</v>
      </c>
      <c r="AT198" s="558">
        <v>910</v>
      </c>
      <c r="AU198" s="559">
        <v>896</v>
      </c>
      <c r="AV198" s="559">
        <v>691</v>
      </c>
      <c r="AW198" s="559">
        <v>691</v>
      </c>
      <c r="AX198" s="560">
        <v>579</v>
      </c>
      <c r="AY198" s="561">
        <f t="shared" si="334"/>
        <v>0.7712053571428571</v>
      </c>
      <c r="AZ198" s="562">
        <f t="shared" si="335"/>
        <v>1</v>
      </c>
      <c r="BA198" s="558">
        <v>63</v>
      </c>
      <c r="BB198" s="559">
        <v>63</v>
      </c>
      <c r="BC198" s="559">
        <v>63</v>
      </c>
      <c r="BD198" s="559">
        <v>63</v>
      </c>
      <c r="BE198" s="560">
        <v>63</v>
      </c>
      <c r="BF198" s="561">
        <f t="shared" si="336"/>
        <v>1</v>
      </c>
      <c r="BG198" s="562">
        <f t="shared" si="337"/>
        <v>1</v>
      </c>
      <c r="BH198" s="558" t="s">
        <v>67</v>
      </c>
      <c r="BI198" s="559" t="s">
        <v>67</v>
      </c>
      <c r="BJ198" s="559" t="s">
        <v>67</v>
      </c>
      <c r="BK198" s="559" t="s">
        <v>67</v>
      </c>
      <c r="BL198" s="560" t="s">
        <v>67</v>
      </c>
      <c r="BM198" s="561" t="s">
        <v>67</v>
      </c>
      <c r="BN198" s="562" t="s">
        <v>67</v>
      </c>
      <c r="BO198" s="558" t="s">
        <v>67</v>
      </c>
      <c r="BP198" s="559" t="s">
        <v>67</v>
      </c>
      <c r="BQ198" s="559" t="s">
        <v>67</v>
      </c>
      <c r="BR198" s="559" t="s">
        <v>67</v>
      </c>
      <c r="BS198" s="560" t="s">
        <v>67</v>
      </c>
      <c r="BT198" s="561" t="s">
        <v>67</v>
      </c>
      <c r="BU198" s="562" t="s">
        <v>67</v>
      </c>
      <c r="BV198" s="558" t="s">
        <v>67</v>
      </c>
      <c r="BW198" s="559" t="s">
        <v>67</v>
      </c>
      <c r="BX198" s="559" t="s">
        <v>67</v>
      </c>
      <c r="BY198" s="559" t="s">
        <v>67</v>
      </c>
      <c r="BZ198" s="560" t="s">
        <v>67</v>
      </c>
      <c r="CA198" s="561" t="s">
        <v>67</v>
      </c>
      <c r="CB198" s="562" t="s">
        <v>67</v>
      </c>
      <c r="CC198" s="558" t="s">
        <v>67</v>
      </c>
      <c r="CD198" s="559" t="s">
        <v>67</v>
      </c>
      <c r="CE198" s="559" t="s">
        <v>67</v>
      </c>
      <c r="CF198" s="559" t="s">
        <v>67</v>
      </c>
      <c r="CG198" s="560" t="s">
        <v>67</v>
      </c>
      <c r="CH198" s="561" t="s">
        <v>67</v>
      </c>
      <c r="CI198" s="562" t="s">
        <v>67</v>
      </c>
      <c r="CJ198" s="558" t="s">
        <v>67</v>
      </c>
      <c r="CK198" s="559" t="s">
        <v>67</v>
      </c>
      <c r="CL198" s="559" t="s">
        <v>67</v>
      </c>
      <c r="CM198" s="559" t="s">
        <v>67</v>
      </c>
      <c r="CN198" s="560" t="s">
        <v>67</v>
      </c>
      <c r="CO198" s="561" t="s">
        <v>67</v>
      </c>
      <c r="CP198" s="664" t="s">
        <v>67</v>
      </c>
      <c r="CQ198" s="561" t="s">
        <v>67</v>
      </c>
      <c r="CR198" s="562" t="s">
        <v>67</v>
      </c>
      <c r="CS198" s="558" t="s">
        <v>67</v>
      </c>
      <c r="CT198" s="559" t="s">
        <v>67</v>
      </c>
      <c r="CU198" s="559" t="s">
        <v>67</v>
      </c>
      <c r="CV198" s="559" t="s">
        <v>67</v>
      </c>
      <c r="CW198" s="560" t="s">
        <v>67</v>
      </c>
      <c r="CX198" s="561" t="s">
        <v>67</v>
      </c>
      <c r="CY198" s="664" t="s">
        <v>67</v>
      </c>
      <c r="CZ198" s="561" t="s">
        <v>67</v>
      </c>
      <c r="DA198" s="562" t="s">
        <v>67</v>
      </c>
      <c r="DB198" s="558" t="s">
        <v>67</v>
      </c>
      <c r="DC198" s="559" t="s">
        <v>67</v>
      </c>
      <c r="DD198" s="559" t="s">
        <v>67</v>
      </c>
      <c r="DE198" s="559" t="s">
        <v>67</v>
      </c>
      <c r="DF198" s="560" t="s">
        <v>67</v>
      </c>
      <c r="DG198" s="561" t="s">
        <v>67</v>
      </c>
      <c r="DH198" s="664" t="s">
        <v>67</v>
      </c>
      <c r="DI198" s="561" t="s">
        <v>67</v>
      </c>
      <c r="DJ198" s="562" t="s">
        <v>67</v>
      </c>
      <c r="DK198" s="558" t="s">
        <v>67</v>
      </c>
      <c r="DL198" s="559" t="s">
        <v>67</v>
      </c>
      <c r="DM198" s="559" t="s">
        <v>67</v>
      </c>
      <c r="DN198" s="559" t="s">
        <v>67</v>
      </c>
      <c r="DO198" s="560" t="s">
        <v>67</v>
      </c>
      <c r="DP198" s="561" t="s">
        <v>67</v>
      </c>
      <c r="DQ198" s="664" t="s">
        <v>67</v>
      </c>
      <c r="DR198" s="561" t="s">
        <v>67</v>
      </c>
      <c r="DS198" s="562" t="s">
        <v>67</v>
      </c>
      <c r="DT198" s="558" t="s">
        <v>67</v>
      </c>
      <c r="DU198" s="559" t="s">
        <v>67</v>
      </c>
      <c r="DV198" s="559" t="s">
        <v>67</v>
      </c>
      <c r="DW198" s="559" t="s">
        <v>67</v>
      </c>
      <c r="DX198" s="560" t="s">
        <v>67</v>
      </c>
      <c r="DY198" s="561" t="s">
        <v>67</v>
      </c>
      <c r="DZ198" s="664" t="s">
        <v>67</v>
      </c>
      <c r="EA198" s="561" t="s">
        <v>67</v>
      </c>
      <c r="EB198" s="562" t="s">
        <v>67</v>
      </c>
    </row>
    <row r="199" spans="1:132" s="2" customFormat="1" ht="25.5" x14ac:dyDescent="0.25">
      <c r="A199" s="577" t="s">
        <v>470</v>
      </c>
      <c r="B199" s="489" t="s">
        <v>471</v>
      </c>
      <c r="C199" s="565" t="s">
        <v>199</v>
      </c>
      <c r="D199" s="558">
        <v>419</v>
      </c>
      <c r="E199" s="559">
        <v>419</v>
      </c>
      <c r="F199" s="559">
        <v>419</v>
      </c>
      <c r="G199" s="559">
        <v>374</v>
      </c>
      <c r="H199" s="560">
        <v>318</v>
      </c>
      <c r="I199" s="561">
        <f t="shared" si="250"/>
        <v>0.89260143198090691</v>
      </c>
      <c r="J199" s="562">
        <f t="shared" si="251"/>
        <v>0.89260143198090691</v>
      </c>
      <c r="K199" s="558">
        <v>341</v>
      </c>
      <c r="L199" s="559">
        <v>341</v>
      </c>
      <c r="M199" s="559">
        <v>310</v>
      </c>
      <c r="N199" s="559">
        <v>310</v>
      </c>
      <c r="O199" s="560">
        <v>249</v>
      </c>
      <c r="P199" s="561">
        <f t="shared" si="326"/>
        <v>0.90909090909090906</v>
      </c>
      <c r="Q199" s="562">
        <f t="shared" si="327"/>
        <v>1</v>
      </c>
      <c r="R199" s="558">
        <v>93</v>
      </c>
      <c r="S199" s="559">
        <v>93</v>
      </c>
      <c r="T199" s="559">
        <v>16</v>
      </c>
      <c r="U199" s="559">
        <v>16</v>
      </c>
      <c r="V199" s="560">
        <v>6</v>
      </c>
      <c r="W199" s="561">
        <f t="shared" si="248"/>
        <v>0.17204301075268819</v>
      </c>
      <c r="X199" s="562">
        <f t="shared" si="249"/>
        <v>1</v>
      </c>
      <c r="Y199" s="558">
        <v>252</v>
      </c>
      <c r="Z199" s="559">
        <v>250</v>
      </c>
      <c r="AA199" s="559">
        <v>166</v>
      </c>
      <c r="AB199" s="559">
        <v>166</v>
      </c>
      <c r="AC199" s="560">
        <v>140</v>
      </c>
      <c r="AD199" s="561">
        <f t="shared" si="328"/>
        <v>0.66400000000000003</v>
      </c>
      <c r="AE199" s="562">
        <f t="shared" si="329"/>
        <v>1</v>
      </c>
      <c r="AF199" s="558">
        <v>206</v>
      </c>
      <c r="AG199" s="559">
        <v>206</v>
      </c>
      <c r="AH199" s="559">
        <v>144</v>
      </c>
      <c r="AI199" s="559">
        <v>144</v>
      </c>
      <c r="AJ199" s="560">
        <v>121</v>
      </c>
      <c r="AK199" s="561">
        <f t="shared" si="330"/>
        <v>0.69902912621359226</v>
      </c>
      <c r="AL199" s="562">
        <f t="shared" si="331"/>
        <v>1</v>
      </c>
      <c r="AM199" s="558">
        <v>243</v>
      </c>
      <c r="AN199" s="559">
        <v>243</v>
      </c>
      <c r="AO199" s="559">
        <v>193</v>
      </c>
      <c r="AP199" s="559">
        <v>193</v>
      </c>
      <c r="AQ199" s="560">
        <v>170</v>
      </c>
      <c r="AR199" s="561">
        <f t="shared" si="332"/>
        <v>0.79423868312757206</v>
      </c>
      <c r="AS199" s="562">
        <f t="shared" si="333"/>
        <v>1</v>
      </c>
      <c r="AT199" s="558">
        <v>270</v>
      </c>
      <c r="AU199" s="559">
        <v>270</v>
      </c>
      <c r="AV199" s="559">
        <v>180</v>
      </c>
      <c r="AW199" s="559">
        <v>180</v>
      </c>
      <c r="AX199" s="560">
        <v>146</v>
      </c>
      <c r="AY199" s="561">
        <f t="shared" si="334"/>
        <v>0.66666666666666663</v>
      </c>
      <c r="AZ199" s="562">
        <f t="shared" si="335"/>
        <v>1</v>
      </c>
      <c r="BA199" s="558" t="s">
        <v>67</v>
      </c>
      <c r="BB199" s="559" t="s">
        <v>67</v>
      </c>
      <c r="BC199" s="559" t="s">
        <v>67</v>
      </c>
      <c r="BD199" s="559" t="s">
        <v>67</v>
      </c>
      <c r="BE199" s="560" t="s">
        <v>67</v>
      </c>
      <c r="BF199" s="561" t="s">
        <v>67</v>
      </c>
      <c r="BG199" s="562" t="s">
        <v>67</v>
      </c>
      <c r="BH199" s="558" t="s">
        <v>67</v>
      </c>
      <c r="BI199" s="559" t="s">
        <v>67</v>
      </c>
      <c r="BJ199" s="559" t="s">
        <v>67</v>
      </c>
      <c r="BK199" s="559" t="s">
        <v>67</v>
      </c>
      <c r="BL199" s="560" t="s">
        <v>67</v>
      </c>
      <c r="BM199" s="561" t="s">
        <v>67</v>
      </c>
      <c r="BN199" s="562" t="s">
        <v>67</v>
      </c>
      <c r="BO199" s="558" t="s">
        <v>67</v>
      </c>
      <c r="BP199" s="559" t="s">
        <v>67</v>
      </c>
      <c r="BQ199" s="559" t="s">
        <v>67</v>
      </c>
      <c r="BR199" s="559" t="s">
        <v>67</v>
      </c>
      <c r="BS199" s="560" t="s">
        <v>67</v>
      </c>
      <c r="BT199" s="561" t="s">
        <v>67</v>
      </c>
      <c r="BU199" s="562" t="s">
        <v>67</v>
      </c>
      <c r="BV199" s="558" t="s">
        <v>67</v>
      </c>
      <c r="BW199" s="559" t="s">
        <v>67</v>
      </c>
      <c r="BX199" s="559" t="s">
        <v>67</v>
      </c>
      <c r="BY199" s="559" t="s">
        <v>67</v>
      </c>
      <c r="BZ199" s="560" t="s">
        <v>67</v>
      </c>
      <c r="CA199" s="561" t="s">
        <v>67</v>
      </c>
      <c r="CB199" s="562" t="s">
        <v>67</v>
      </c>
      <c r="CC199" s="558" t="s">
        <v>67</v>
      </c>
      <c r="CD199" s="559" t="s">
        <v>67</v>
      </c>
      <c r="CE199" s="559" t="s">
        <v>67</v>
      </c>
      <c r="CF199" s="559" t="s">
        <v>67</v>
      </c>
      <c r="CG199" s="560" t="s">
        <v>67</v>
      </c>
      <c r="CH199" s="561" t="s">
        <v>67</v>
      </c>
      <c r="CI199" s="562" t="s">
        <v>67</v>
      </c>
      <c r="CJ199" s="558" t="s">
        <v>67</v>
      </c>
      <c r="CK199" s="559" t="s">
        <v>67</v>
      </c>
      <c r="CL199" s="559" t="s">
        <v>67</v>
      </c>
      <c r="CM199" s="559" t="s">
        <v>67</v>
      </c>
      <c r="CN199" s="560" t="s">
        <v>67</v>
      </c>
      <c r="CO199" s="561" t="s">
        <v>67</v>
      </c>
      <c r="CP199" s="664" t="s">
        <v>67</v>
      </c>
      <c r="CQ199" s="561" t="s">
        <v>67</v>
      </c>
      <c r="CR199" s="562" t="s">
        <v>67</v>
      </c>
      <c r="CS199" s="558" t="s">
        <v>67</v>
      </c>
      <c r="CT199" s="559" t="s">
        <v>67</v>
      </c>
      <c r="CU199" s="559" t="s">
        <v>67</v>
      </c>
      <c r="CV199" s="559" t="s">
        <v>67</v>
      </c>
      <c r="CW199" s="560" t="s">
        <v>67</v>
      </c>
      <c r="CX199" s="561" t="s">
        <v>67</v>
      </c>
      <c r="CY199" s="664" t="s">
        <v>67</v>
      </c>
      <c r="CZ199" s="561" t="s">
        <v>67</v>
      </c>
      <c r="DA199" s="562" t="s">
        <v>67</v>
      </c>
      <c r="DB199" s="558" t="s">
        <v>67</v>
      </c>
      <c r="DC199" s="559" t="s">
        <v>67</v>
      </c>
      <c r="DD199" s="559" t="s">
        <v>67</v>
      </c>
      <c r="DE199" s="559" t="s">
        <v>67</v>
      </c>
      <c r="DF199" s="560" t="s">
        <v>67</v>
      </c>
      <c r="DG199" s="561" t="s">
        <v>67</v>
      </c>
      <c r="DH199" s="664" t="s">
        <v>67</v>
      </c>
      <c r="DI199" s="561" t="s">
        <v>67</v>
      </c>
      <c r="DJ199" s="562" t="s">
        <v>67</v>
      </c>
      <c r="DK199" s="558" t="s">
        <v>67</v>
      </c>
      <c r="DL199" s="559" t="s">
        <v>67</v>
      </c>
      <c r="DM199" s="559" t="s">
        <v>67</v>
      </c>
      <c r="DN199" s="559" t="s">
        <v>67</v>
      </c>
      <c r="DO199" s="560" t="s">
        <v>67</v>
      </c>
      <c r="DP199" s="561" t="s">
        <v>67</v>
      </c>
      <c r="DQ199" s="664" t="s">
        <v>67</v>
      </c>
      <c r="DR199" s="561" t="s">
        <v>67</v>
      </c>
      <c r="DS199" s="562" t="s">
        <v>67</v>
      </c>
      <c r="DT199" s="558" t="s">
        <v>67</v>
      </c>
      <c r="DU199" s="559" t="s">
        <v>67</v>
      </c>
      <c r="DV199" s="559" t="s">
        <v>67</v>
      </c>
      <c r="DW199" s="559" t="s">
        <v>67</v>
      </c>
      <c r="DX199" s="560" t="s">
        <v>67</v>
      </c>
      <c r="DY199" s="561" t="s">
        <v>67</v>
      </c>
      <c r="DZ199" s="664" t="s">
        <v>67</v>
      </c>
      <c r="EA199" s="561" t="s">
        <v>67</v>
      </c>
      <c r="EB199" s="562" t="s">
        <v>67</v>
      </c>
    </row>
    <row r="200" spans="1:132" s="2" customFormat="1" ht="25.5" x14ac:dyDescent="0.25">
      <c r="A200" s="577" t="s">
        <v>472</v>
      </c>
      <c r="B200" s="489" t="s">
        <v>473</v>
      </c>
      <c r="C200" s="565" t="s">
        <v>199</v>
      </c>
      <c r="D200" s="558">
        <v>331</v>
      </c>
      <c r="E200" s="559">
        <v>327</v>
      </c>
      <c r="F200" s="559">
        <v>327</v>
      </c>
      <c r="G200" s="559">
        <v>277</v>
      </c>
      <c r="H200" s="560">
        <v>226</v>
      </c>
      <c r="I200" s="561">
        <f t="shared" si="250"/>
        <v>0.84709480122324154</v>
      </c>
      <c r="J200" s="562">
        <f t="shared" si="251"/>
        <v>0.84709480122324154</v>
      </c>
      <c r="K200" s="558">
        <v>336</v>
      </c>
      <c r="L200" s="559">
        <v>333</v>
      </c>
      <c r="M200" s="559">
        <v>333</v>
      </c>
      <c r="N200" s="559">
        <v>258</v>
      </c>
      <c r="O200" s="560">
        <v>228</v>
      </c>
      <c r="P200" s="561">
        <f t="shared" si="326"/>
        <v>0.77477477477477474</v>
      </c>
      <c r="Q200" s="562">
        <f t="shared" si="327"/>
        <v>0.77477477477477474</v>
      </c>
      <c r="R200" s="558">
        <v>451</v>
      </c>
      <c r="S200" s="559">
        <v>445</v>
      </c>
      <c r="T200" s="559">
        <v>445</v>
      </c>
      <c r="U200" s="559">
        <v>369</v>
      </c>
      <c r="V200" s="560">
        <v>324</v>
      </c>
      <c r="W200" s="561">
        <f t="shared" si="248"/>
        <v>0.82921348314606746</v>
      </c>
      <c r="X200" s="562">
        <f t="shared" si="249"/>
        <v>0.82921348314606746</v>
      </c>
      <c r="Y200" s="558">
        <v>403</v>
      </c>
      <c r="Z200" s="559">
        <v>401</v>
      </c>
      <c r="AA200" s="559">
        <v>401</v>
      </c>
      <c r="AB200" s="559">
        <v>301</v>
      </c>
      <c r="AC200" s="560">
        <v>272</v>
      </c>
      <c r="AD200" s="561">
        <f t="shared" si="328"/>
        <v>0.75062344139650872</v>
      </c>
      <c r="AE200" s="562">
        <f t="shared" si="329"/>
        <v>0.75062344139650872</v>
      </c>
      <c r="AF200" s="558">
        <v>310</v>
      </c>
      <c r="AG200" s="559">
        <v>306</v>
      </c>
      <c r="AH200" s="559">
        <v>306</v>
      </c>
      <c r="AI200" s="559">
        <v>193</v>
      </c>
      <c r="AJ200" s="560">
        <v>193</v>
      </c>
      <c r="AK200" s="561">
        <f t="shared" si="330"/>
        <v>0.63071895424836599</v>
      </c>
      <c r="AL200" s="562">
        <f t="shared" si="331"/>
        <v>0.63071895424836599</v>
      </c>
      <c r="AM200" s="558" t="s">
        <v>67</v>
      </c>
      <c r="AN200" s="559" t="s">
        <v>67</v>
      </c>
      <c r="AO200" s="559" t="s">
        <v>67</v>
      </c>
      <c r="AP200" s="559" t="s">
        <v>67</v>
      </c>
      <c r="AQ200" s="560" t="s">
        <v>67</v>
      </c>
      <c r="AR200" s="561" t="s">
        <v>67</v>
      </c>
      <c r="AS200" s="562" t="s">
        <v>67</v>
      </c>
      <c r="AT200" s="558" t="s">
        <v>67</v>
      </c>
      <c r="AU200" s="559" t="s">
        <v>67</v>
      </c>
      <c r="AV200" s="559" t="s">
        <v>67</v>
      </c>
      <c r="AW200" s="559" t="s">
        <v>67</v>
      </c>
      <c r="AX200" s="560" t="s">
        <v>67</v>
      </c>
      <c r="AY200" s="561" t="s">
        <v>67</v>
      </c>
      <c r="AZ200" s="562" t="s">
        <v>67</v>
      </c>
      <c r="BA200" s="558" t="s">
        <v>67</v>
      </c>
      <c r="BB200" s="559" t="s">
        <v>67</v>
      </c>
      <c r="BC200" s="559" t="s">
        <v>67</v>
      </c>
      <c r="BD200" s="559" t="s">
        <v>67</v>
      </c>
      <c r="BE200" s="560" t="s">
        <v>67</v>
      </c>
      <c r="BF200" s="561" t="s">
        <v>67</v>
      </c>
      <c r="BG200" s="562" t="s">
        <v>67</v>
      </c>
      <c r="BH200" s="558" t="s">
        <v>67</v>
      </c>
      <c r="BI200" s="559" t="s">
        <v>67</v>
      </c>
      <c r="BJ200" s="559" t="s">
        <v>67</v>
      </c>
      <c r="BK200" s="559" t="s">
        <v>67</v>
      </c>
      <c r="BL200" s="560" t="s">
        <v>67</v>
      </c>
      <c r="BM200" s="561" t="s">
        <v>67</v>
      </c>
      <c r="BN200" s="562" t="s">
        <v>67</v>
      </c>
      <c r="BO200" s="558" t="s">
        <v>67</v>
      </c>
      <c r="BP200" s="559" t="s">
        <v>67</v>
      </c>
      <c r="BQ200" s="559" t="s">
        <v>67</v>
      </c>
      <c r="BR200" s="559" t="s">
        <v>67</v>
      </c>
      <c r="BS200" s="560" t="s">
        <v>67</v>
      </c>
      <c r="BT200" s="561" t="s">
        <v>67</v>
      </c>
      <c r="BU200" s="562" t="s">
        <v>67</v>
      </c>
      <c r="BV200" s="558" t="s">
        <v>67</v>
      </c>
      <c r="BW200" s="559" t="s">
        <v>67</v>
      </c>
      <c r="BX200" s="559" t="s">
        <v>67</v>
      </c>
      <c r="BY200" s="559" t="s">
        <v>67</v>
      </c>
      <c r="BZ200" s="560" t="s">
        <v>67</v>
      </c>
      <c r="CA200" s="561" t="s">
        <v>67</v>
      </c>
      <c r="CB200" s="562" t="s">
        <v>67</v>
      </c>
      <c r="CC200" s="558" t="s">
        <v>67</v>
      </c>
      <c r="CD200" s="559" t="s">
        <v>67</v>
      </c>
      <c r="CE200" s="559" t="s">
        <v>67</v>
      </c>
      <c r="CF200" s="559" t="s">
        <v>67</v>
      </c>
      <c r="CG200" s="560" t="s">
        <v>67</v>
      </c>
      <c r="CH200" s="561" t="s">
        <v>67</v>
      </c>
      <c r="CI200" s="562" t="s">
        <v>67</v>
      </c>
      <c r="CJ200" s="558" t="s">
        <v>67</v>
      </c>
      <c r="CK200" s="559" t="s">
        <v>67</v>
      </c>
      <c r="CL200" s="559" t="s">
        <v>67</v>
      </c>
      <c r="CM200" s="559" t="s">
        <v>67</v>
      </c>
      <c r="CN200" s="560" t="s">
        <v>67</v>
      </c>
      <c r="CO200" s="561" t="s">
        <v>67</v>
      </c>
      <c r="CP200" s="664" t="s">
        <v>67</v>
      </c>
      <c r="CQ200" s="561" t="s">
        <v>67</v>
      </c>
      <c r="CR200" s="562" t="s">
        <v>67</v>
      </c>
      <c r="CS200" s="558" t="s">
        <v>67</v>
      </c>
      <c r="CT200" s="559" t="s">
        <v>67</v>
      </c>
      <c r="CU200" s="559" t="s">
        <v>67</v>
      </c>
      <c r="CV200" s="559" t="s">
        <v>67</v>
      </c>
      <c r="CW200" s="560" t="s">
        <v>67</v>
      </c>
      <c r="CX200" s="561" t="s">
        <v>67</v>
      </c>
      <c r="CY200" s="664" t="s">
        <v>67</v>
      </c>
      <c r="CZ200" s="561" t="s">
        <v>67</v>
      </c>
      <c r="DA200" s="562" t="s">
        <v>67</v>
      </c>
      <c r="DB200" s="558" t="s">
        <v>67</v>
      </c>
      <c r="DC200" s="559" t="s">
        <v>67</v>
      </c>
      <c r="DD200" s="559" t="s">
        <v>67</v>
      </c>
      <c r="DE200" s="559" t="s">
        <v>67</v>
      </c>
      <c r="DF200" s="560" t="s">
        <v>67</v>
      </c>
      <c r="DG200" s="561" t="s">
        <v>67</v>
      </c>
      <c r="DH200" s="664" t="s">
        <v>67</v>
      </c>
      <c r="DI200" s="561" t="s">
        <v>67</v>
      </c>
      <c r="DJ200" s="562" t="s">
        <v>67</v>
      </c>
      <c r="DK200" s="558" t="s">
        <v>67</v>
      </c>
      <c r="DL200" s="559" t="s">
        <v>67</v>
      </c>
      <c r="DM200" s="559" t="s">
        <v>67</v>
      </c>
      <c r="DN200" s="559" t="s">
        <v>67</v>
      </c>
      <c r="DO200" s="560" t="s">
        <v>67</v>
      </c>
      <c r="DP200" s="561" t="s">
        <v>67</v>
      </c>
      <c r="DQ200" s="664" t="s">
        <v>67</v>
      </c>
      <c r="DR200" s="561" t="s">
        <v>67</v>
      </c>
      <c r="DS200" s="562" t="s">
        <v>67</v>
      </c>
      <c r="DT200" s="558" t="s">
        <v>67</v>
      </c>
      <c r="DU200" s="559" t="s">
        <v>67</v>
      </c>
      <c r="DV200" s="559" t="s">
        <v>67</v>
      </c>
      <c r="DW200" s="559" t="s">
        <v>67</v>
      </c>
      <c r="DX200" s="560" t="s">
        <v>67</v>
      </c>
      <c r="DY200" s="561" t="s">
        <v>67</v>
      </c>
      <c r="DZ200" s="664" t="s">
        <v>67</v>
      </c>
      <c r="EA200" s="561" t="s">
        <v>67</v>
      </c>
      <c r="EB200" s="562" t="s">
        <v>67</v>
      </c>
    </row>
    <row r="201" spans="1:132" s="2" customFormat="1" x14ac:dyDescent="0.25">
      <c r="A201" s="577" t="s">
        <v>549</v>
      </c>
      <c r="B201" s="489" t="s">
        <v>474</v>
      </c>
      <c r="C201" s="565" t="s">
        <v>199</v>
      </c>
      <c r="D201" s="558">
        <v>166</v>
      </c>
      <c r="E201" s="559">
        <v>166</v>
      </c>
      <c r="F201" s="559">
        <v>84</v>
      </c>
      <c r="G201" s="559">
        <v>36</v>
      </c>
      <c r="H201" s="560">
        <v>35</v>
      </c>
      <c r="I201" s="561">
        <f t="shared" si="250"/>
        <v>0.21686746987951808</v>
      </c>
      <c r="J201" s="562">
        <f t="shared" si="251"/>
        <v>0.42857142857142855</v>
      </c>
      <c r="K201" s="558">
        <v>142</v>
      </c>
      <c r="L201" s="559">
        <v>142</v>
      </c>
      <c r="M201" s="559">
        <v>84</v>
      </c>
      <c r="N201" s="559">
        <v>72</v>
      </c>
      <c r="O201" s="560">
        <v>60</v>
      </c>
      <c r="P201" s="561">
        <f t="shared" si="326"/>
        <v>0.50704225352112675</v>
      </c>
      <c r="Q201" s="562">
        <f t="shared" si="327"/>
        <v>0.8571428571428571</v>
      </c>
      <c r="R201" s="558">
        <v>94</v>
      </c>
      <c r="S201" s="559">
        <v>94</v>
      </c>
      <c r="T201" s="559">
        <v>59</v>
      </c>
      <c r="U201" s="559">
        <v>54</v>
      </c>
      <c r="V201" s="560">
        <v>50</v>
      </c>
      <c r="W201" s="561">
        <f t="shared" si="248"/>
        <v>0.57446808510638303</v>
      </c>
      <c r="X201" s="562">
        <f t="shared" si="249"/>
        <v>0.9152542372881356</v>
      </c>
      <c r="Y201" s="558">
        <v>112</v>
      </c>
      <c r="Z201" s="559">
        <v>109</v>
      </c>
      <c r="AA201" s="559">
        <v>66</v>
      </c>
      <c r="AB201" s="559">
        <v>64</v>
      </c>
      <c r="AC201" s="560">
        <v>58</v>
      </c>
      <c r="AD201" s="561">
        <f t="shared" si="328"/>
        <v>0.58715596330275233</v>
      </c>
      <c r="AE201" s="562">
        <f t="shared" si="329"/>
        <v>0.96969696969696972</v>
      </c>
      <c r="AF201" s="558">
        <v>90</v>
      </c>
      <c r="AG201" s="559">
        <v>89</v>
      </c>
      <c r="AH201" s="559">
        <v>55</v>
      </c>
      <c r="AI201" s="559">
        <v>49</v>
      </c>
      <c r="AJ201" s="560">
        <v>40</v>
      </c>
      <c r="AK201" s="561">
        <f t="shared" si="330"/>
        <v>0.550561797752809</v>
      </c>
      <c r="AL201" s="562">
        <f t="shared" si="331"/>
        <v>0.89090909090909087</v>
      </c>
      <c r="AM201" s="558">
        <v>71</v>
      </c>
      <c r="AN201" s="559">
        <v>71</v>
      </c>
      <c r="AO201" s="559">
        <v>47</v>
      </c>
      <c r="AP201" s="559">
        <v>47</v>
      </c>
      <c r="AQ201" s="560">
        <v>38</v>
      </c>
      <c r="AR201" s="561">
        <f t="shared" si="332"/>
        <v>0.6619718309859155</v>
      </c>
      <c r="AS201" s="562">
        <f t="shared" si="333"/>
        <v>1</v>
      </c>
      <c r="AT201" s="558" t="s">
        <v>67</v>
      </c>
      <c r="AU201" s="559" t="s">
        <v>67</v>
      </c>
      <c r="AV201" s="559" t="s">
        <v>67</v>
      </c>
      <c r="AW201" s="559" t="s">
        <v>67</v>
      </c>
      <c r="AX201" s="560" t="s">
        <v>67</v>
      </c>
      <c r="AY201" s="561" t="s">
        <v>67</v>
      </c>
      <c r="AZ201" s="562" t="s">
        <v>67</v>
      </c>
      <c r="BA201" s="558" t="s">
        <v>67</v>
      </c>
      <c r="BB201" s="559" t="s">
        <v>67</v>
      </c>
      <c r="BC201" s="559" t="s">
        <v>67</v>
      </c>
      <c r="BD201" s="559" t="s">
        <v>67</v>
      </c>
      <c r="BE201" s="560" t="s">
        <v>67</v>
      </c>
      <c r="BF201" s="561" t="s">
        <v>67</v>
      </c>
      <c r="BG201" s="562" t="s">
        <v>67</v>
      </c>
      <c r="BH201" s="558" t="s">
        <v>67</v>
      </c>
      <c r="BI201" s="559" t="s">
        <v>67</v>
      </c>
      <c r="BJ201" s="559" t="s">
        <v>67</v>
      </c>
      <c r="BK201" s="559" t="s">
        <v>67</v>
      </c>
      <c r="BL201" s="560" t="s">
        <v>67</v>
      </c>
      <c r="BM201" s="561" t="s">
        <v>67</v>
      </c>
      <c r="BN201" s="562" t="s">
        <v>67</v>
      </c>
      <c r="BO201" s="558" t="s">
        <v>67</v>
      </c>
      <c r="BP201" s="559" t="s">
        <v>67</v>
      </c>
      <c r="BQ201" s="559" t="s">
        <v>67</v>
      </c>
      <c r="BR201" s="559" t="s">
        <v>67</v>
      </c>
      <c r="BS201" s="560" t="s">
        <v>67</v>
      </c>
      <c r="BT201" s="561" t="s">
        <v>67</v>
      </c>
      <c r="BU201" s="562" t="s">
        <v>67</v>
      </c>
      <c r="BV201" s="558" t="s">
        <v>67</v>
      </c>
      <c r="BW201" s="559" t="s">
        <v>67</v>
      </c>
      <c r="BX201" s="559" t="s">
        <v>67</v>
      </c>
      <c r="BY201" s="559" t="s">
        <v>67</v>
      </c>
      <c r="BZ201" s="560" t="s">
        <v>67</v>
      </c>
      <c r="CA201" s="561" t="s">
        <v>67</v>
      </c>
      <c r="CB201" s="562" t="s">
        <v>67</v>
      </c>
      <c r="CC201" s="558" t="s">
        <v>67</v>
      </c>
      <c r="CD201" s="559" t="s">
        <v>67</v>
      </c>
      <c r="CE201" s="559" t="s">
        <v>67</v>
      </c>
      <c r="CF201" s="559" t="s">
        <v>67</v>
      </c>
      <c r="CG201" s="560" t="s">
        <v>67</v>
      </c>
      <c r="CH201" s="561" t="s">
        <v>67</v>
      </c>
      <c r="CI201" s="562" t="s">
        <v>67</v>
      </c>
      <c r="CJ201" s="558" t="s">
        <v>67</v>
      </c>
      <c r="CK201" s="559" t="s">
        <v>67</v>
      </c>
      <c r="CL201" s="559" t="s">
        <v>67</v>
      </c>
      <c r="CM201" s="559" t="s">
        <v>67</v>
      </c>
      <c r="CN201" s="560" t="s">
        <v>67</v>
      </c>
      <c r="CO201" s="561" t="s">
        <v>67</v>
      </c>
      <c r="CP201" s="664" t="s">
        <v>67</v>
      </c>
      <c r="CQ201" s="561" t="s">
        <v>67</v>
      </c>
      <c r="CR201" s="562" t="s">
        <v>67</v>
      </c>
      <c r="CS201" s="558" t="s">
        <v>67</v>
      </c>
      <c r="CT201" s="559" t="s">
        <v>67</v>
      </c>
      <c r="CU201" s="559" t="s">
        <v>67</v>
      </c>
      <c r="CV201" s="559" t="s">
        <v>67</v>
      </c>
      <c r="CW201" s="560" t="s">
        <v>67</v>
      </c>
      <c r="CX201" s="561" t="s">
        <v>67</v>
      </c>
      <c r="CY201" s="664" t="s">
        <v>67</v>
      </c>
      <c r="CZ201" s="561" t="s">
        <v>67</v>
      </c>
      <c r="DA201" s="562" t="s">
        <v>67</v>
      </c>
      <c r="DB201" s="558" t="s">
        <v>67</v>
      </c>
      <c r="DC201" s="559" t="s">
        <v>67</v>
      </c>
      <c r="DD201" s="559" t="s">
        <v>67</v>
      </c>
      <c r="DE201" s="559" t="s">
        <v>67</v>
      </c>
      <c r="DF201" s="560" t="s">
        <v>67</v>
      </c>
      <c r="DG201" s="561" t="s">
        <v>67</v>
      </c>
      <c r="DH201" s="664" t="s">
        <v>67</v>
      </c>
      <c r="DI201" s="561" t="s">
        <v>67</v>
      </c>
      <c r="DJ201" s="562" t="s">
        <v>67</v>
      </c>
      <c r="DK201" s="558" t="s">
        <v>67</v>
      </c>
      <c r="DL201" s="559" t="s">
        <v>67</v>
      </c>
      <c r="DM201" s="559" t="s">
        <v>67</v>
      </c>
      <c r="DN201" s="559" t="s">
        <v>67</v>
      </c>
      <c r="DO201" s="560" t="s">
        <v>67</v>
      </c>
      <c r="DP201" s="561" t="s">
        <v>67</v>
      </c>
      <c r="DQ201" s="664" t="s">
        <v>67</v>
      </c>
      <c r="DR201" s="561" t="s">
        <v>67</v>
      </c>
      <c r="DS201" s="562" t="s">
        <v>67</v>
      </c>
      <c r="DT201" s="558" t="s">
        <v>67</v>
      </c>
      <c r="DU201" s="559" t="s">
        <v>67</v>
      </c>
      <c r="DV201" s="559" t="s">
        <v>67</v>
      </c>
      <c r="DW201" s="559" t="s">
        <v>67</v>
      </c>
      <c r="DX201" s="560" t="s">
        <v>67</v>
      </c>
      <c r="DY201" s="561" t="s">
        <v>67</v>
      </c>
      <c r="DZ201" s="664" t="s">
        <v>67</v>
      </c>
      <c r="EA201" s="561" t="s">
        <v>67</v>
      </c>
      <c r="EB201" s="562" t="s">
        <v>67</v>
      </c>
    </row>
    <row r="202" spans="1:132" s="2" customFormat="1" ht="25.5" x14ac:dyDescent="0.25">
      <c r="A202" s="577" t="s">
        <v>475</v>
      </c>
      <c r="B202" s="489" t="s">
        <v>476</v>
      </c>
      <c r="C202" s="565" t="s">
        <v>199</v>
      </c>
      <c r="D202" s="558">
        <v>691</v>
      </c>
      <c r="E202" s="559">
        <v>667</v>
      </c>
      <c r="F202" s="559">
        <v>667</v>
      </c>
      <c r="G202" s="559">
        <v>667</v>
      </c>
      <c r="H202" s="560">
        <v>667</v>
      </c>
      <c r="I202" s="561">
        <f t="shared" si="250"/>
        <v>1</v>
      </c>
      <c r="J202" s="562">
        <f t="shared" si="251"/>
        <v>1</v>
      </c>
      <c r="K202" s="558">
        <v>888</v>
      </c>
      <c r="L202" s="559">
        <v>880</v>
      </c>
      <c r="M202" s="559">
        <v>880</v>
      </c>
      <c r="N202" s="559">
        <v>880</v>
      </c>
      <c r="O202" s="560">
        <v>590</v>
      </c>
      <c r="P202" s="561">
        <f t="shared" si="326"/>
        <v>1</v>
      </c>
      <c r="Q202" s="562">
        <f t="shared" si="327"/>
        <v>1</v>
      </c>
      <c r="R202" s="558">
        <v>513</v>
      </c>
      <c r="S202" s="559">
        <v>513</v>
      </c>
      <c r="T202" s="559">
        <v>513</v>
      </c>
      <c r="U202" s="559">
        <v>513</v>
      </c>
      <c r="V202" s="560">
        <v>513</v>
      </c>
      <c r="W202" s="561">
        <f t="shared" si="248"/>
        <v>1</v>
      </c>
      <c r="X202" s="562">
        <f t="shared" si="249"/>
        <v>1</v>
      </c>
      <c r="Y202" s="558">
        <v>396</v>
      </c>
      <c r="Z202" s="559">
        <v>392</v>
      </c>
      <c r="AA202" s="559">
        <v>392</v>
      </c>
      <c r="AB202" s="559">
        <v>392</v>
      </c>
      <c r="AC202" s="560">
        <v>392</v>
      </c>
      <c r="AD202" s="561">
        <f t="shared" si="328"/>
        <v>1</v>
      </c>
      <c r="AE202" s="562">
        <f t="shared" si="329"/>
        <v>1</v>
      </c>
      <c r="AF202" s="558">
        <v>520</v>
      </c>
      <c r="AG202" s="559">
        <v>519</v>
      </c>
      <c r="AH202" s="559">
        <v>519</v>
      </c>
      <c r="AI202" s="559">
        <v>519</v>
      </c>
      <c r="AJ202" s="560">
        <v>519</v>
      </c>
      <c r="AK202" s="561">
        <f t="shared" si="330"/>
        <v>1</v>
      </c>
      <c r="AL202" s="562">
        <f t="shared" si="331"/>
        <v>1</v>
      </c>
      <c r="AM202" s="558">
        <v>378</v>
      </c>
      <c r="AN202" s="559">
        <v>378</v>
      </c>
      <c r="AO202" s="559">
        <v>378</v>
      </c>
      <c r="AP202" s="559">
        <v>378</v>
      </c>
      <c r="AQ202" s="560">
        <v>378</v>
      </c>
      <c r="AR202" s="561">
        <f t="shared" si="332"/>
        <v>1</v>
      </c>
      <c r="AS202" s="562">
        <f t="shared" si="333"/>
        <v>1</v>
      </c>
      <c r="AT202" s="558">
        <v>358</v>
      </c>
      <c r="AU202" s="559">
        <v>356</v>
      </c>
      <c r="AV202" s="559">
        <v>356</v>
      </c>
      <c r="AW202" s="559">
        <v>356</v>
      </c>
      <c r="AX202" s="560">
        <v>356</v>
      </c>
      <c r="AY202" s="561">
        <f t="shared" ref="AY202" si="370">AW202/AU202</f>
        <v>1</v>
      </c>
      <c r="AZ202" s="562">
        <f t="shared" ref="AZ202" si="371">AW202/AV202</f>
        <v>1</v>
      </c>
      <c r="BA202" s="558" t="s">
        <v>67</v>
      </c>
      <c r="BB202" s="559" t="s">
        <v>67</v>
      </c>
      <c r="BC202" s="559" t="s">
        <v>67</v>
      </c>
      <c r="BD202" s="559" t="s">
        <v>67</v>
      </c>
      <c r="BE202" s="560" t="s">
        <v>67</v>
      </c>
      <c r="BF202" s="561" t="s">
        <v>67</v>
      </c>
      <c r="BG202" s="562" t="s">
        <v>67</v>
      </c>
      <c r="BH202" s="558" t="s">
        <v>67</v>
      </c>
      <c r="BI202" s="559" t="s">
        <v>67</v>
      </c>
      <c r="BJ202" s="559" t="s">
        <v>67</v>
      </c>
      <c r="BK202" s="559" t="s">
        <v>67</v>
      </c>
      <c r="BL202" s="560" t="s">
        <v>67</v>
      </c>
      <c r="BM202" s="561" t="s">
        <v>67</v>
      </c>
      <c r="BN202" s="562" t="s">
        <v>67</v>
      </c>
      <c r="BO202" s="558" t="s">
        <v>67</v>
      </c>
      <c r="BP202" s="559" t="s">
        <v>67</v>
      </c>
      <c r="BQ202" s="559" t="s">
        <v>67</v>
      </c>
      <c r="BR202" s="559" t="s">
        <v>67</v>
      </c>
      <c r="BS202" s="560" t="s">
        <v>67</v>
      </c>
      <c r="BT202" s="561" t="s">
        <v>67</v>
      </c>
      <c r="BU202" s="562" t="s">
        <v>67</v>
      </c>
      <c r="BV202" s="558" t="s">
        <v>67</v>
      </c>
      <c r="BW202" s="559" t="s">
        <v>67</v>
      </c>
      <c r="BX202" s="559" t="s">
        <v>67</v>
      </c>
      <c r="BY202" s="559" t="s">
        <v>67</v>
      </c>
      <c r="BZ202" s="560" t="s">
        <v>67</v>
      </c>
      <c r="CA202" s="561" t="s">
        <v>67</v>
      </c>
      <c r="CB202" s="562" t="s">
        <v>67</v>
      </c>
      <c r="CC202" s="558" t="s">
        <v>67</v>
      </c>
      <c r="CD202" s="559" t="s">
        <v>67</v>
      </c>
      <c r="CE202" s="559" t="s">
        <v>67</v>
      </c>
      <c r="CF202" s="559" t="s">
        <v>67</v>
      </c>
      <c r="CG202" s="560" t="s">
        <v>67</v>
      </c>
      <c r="CH202" s="561" t="s">
        <v>67</v>
      </c>
      <c r="CI202" s="562" t="s">
        <v>67</v>
      </c>
      <c r="CJ202" s="558" t="s">
        <v>67</v>
      </c>
      <c r="CK202" s="559" t="s">
        <v>67</v>
      </c>
      <c r="CL202" s="559" t="s">
        <v>67</v>
      </c>
      <c r="CM202" s="559" t="s">
        <v>67</v>
      </c>
      <c r="CN202" s="560" t="s">
        <v>67</v>
      </c>
      <c r="CO202" s="561" t="s">
        <v>67</v>
      </c>
      <c r="CP202" s="664" t="s">
        <v>67</v>
      </c>
      <c r="CQ202" s="561" t="s">
        <v>67</v>
      </c>
      <c r="CR202" s="562" t="s">
        <v>67</v>
      </c>
      <c r="CS202" s="558" t="s">
        <v>67</v>
      </c>
      <c r="CT202" s="559" t="s">
        <v>67</v>
      </c>
      <c r="CU202" s="559" t="s">
        <v>67</v>
      </c>
      <c r="CV202" s="559" t="s">
        <v>67</v>
      </c>
      <c r="CW202" s="560" t="s">
        <v>67</v>
      </c>
      <c r="CX202" s="561" t="s">
        <v>67</v>
      </c>
      <c r="CY202" s="664" t="s">
        <v>67</v>
      </c>
      <c r="CZ202" s="561" t="s">
        <v>67</v>
      </c>
      <c r="DA202" s="562" t="s">
        <v>67</v>
      </c>
      <c r="DB202" s="558" t="s">
        <v>67</v>
      </c>
      <c r="DC202" s="559" t="s">
        <v>67</v>
      </c>
      <c r="DD202" s="559" t="s">
        <v>67</v>
      </c>
      <c r="DE202" s="559" t="s">
        <v>67</v>
      </c>
      <c r="DF202" s="560" t="s">
        <v>67</v>
      </c>
      <c r="DG202" s="561" t="s">
        <v>67</v>
      </c>
      <c r="DH202" s="664" t="s">
        <v>67</v>
      </c>
      <c r="DI202" s="561" t="s">
        <v>67</v>
      </c>
      <c r="DJ202" s="562" t="s">
        <v>67</v>
      </c>
      <c r="DK202" s="558" t="s">
        <v>67</v>
      </c>
      <c r="DL202" s="559" t="s">
        <v>67</v>
      </c>
      <c r="DM202" s="559" t="s">
        <v>67</v>
      </c>
      <c r="DN202" s="559" t="s">
        <v>67</v>
      </c>
      <c r="DO202" s="560" t="s">
        <v>67</v>
      </c>
      <c r="DP202" s="561" t="s">
        <v>67</v>
      </c>
      <c r="DQ202" s="664" t="s">
        <v>67</v>
      </c>
      <c r="DR202" s="561" t="s">
        <v>67</v>
      </c>
      <c r="DS202" s="562" t="s">
        <v>67</v>
      </c>
      <c r="DT202" s="558" t="s">
        <v>67</v>
      </c>
      <c r="DU202" s="559" t="s">
        <v>67</v>
      </c>
      <c r="DV202" s="559" t="s">
        <v>67</v>
      </c>
      <c r="DW202" s="559" t="s">
        <v>67</v>
      </c>
      <c r="DX202" s="560" t="s">
        <v>67</v>
      </c>
      <c r="DY202" s="561" t="s">
        <v>67</v>
      </c>
      <c r="DZ202" s="664" t="s">
        <v>67</v>
      </c>
      <c r="EA202" s="561" t="s">
        <v>67</v>
      </c>
      <c r="EB202" s="562" t="s">
        <v>67</v>
      </c>
    </row>
    <row r="203" spans="1:132" s="2" customFormat="1" ht="38.25" x14ac:dyDescent="0.25">
      <c r="A203" s="577" t="s">
        <v>477</v>
      </c>
      <c r="B203" s="489" t="s">
        <v>478</v>
      </c>
      <c r="C203" s="565" t="s">
        <v>199</v>
      </c>
      <c r="D203" s="558" t="s">
        <v>21</v>
      </c>
      <c r="E203" s="559" t="s">
        <v>21</v>
      </c>
      <c r="F203" s="559" t="s">
        <v>21</v>
      </c>
      <c r="G203" s="559" t="s">
        <v>21</v>
      </c>
      <c r="H203" s="560" t="s">
        <v>21</v>
      </c>
      <c r="I203" s="561" t="s">
        <v>67</v>
      </c>
      <c r="J203" s="562" t="s">
        <v>67</v>
      </c>
      <c r="K203" s="558" t="s">
        <v>67</v>
      </c>
      <c r="L203" s="559" t="s">
        <v>67</v>
      </c>
      <c r="M203" s="559" t="s">
        <v>67</v>
      </c>
      <c r="N203" s="559" t="s">
        <v>67</v>
      </c>
      <c r="O203" s="560" t="s">
        <v>67</v>
      </c>
      <c r="P203" s="561" t="s">
        <v>67</v>
      </c>
      <c r="Q203" s="562" t="s">
        <v>67</v>
      </c>
      <c r="R203" s="558" t="s">
        <v>67</v>
      </c>
      <c r="S203" s="559" t="s">
        <v>67</v>
      </c>
      <c r="T203" s="559" t="s">
        <v>67</v>
      </c>
      <c r="U203" s="559" t="s">
        <v>67</v>
      </c>
      <c r="V203" s="560" t="s">
        <v>67</v>
      </c>
      <c r="W203" s="561" t="s">
        <v>67</v>
      </c>
      <c r="X203" s="562" t="s">
        <v>67</v>
      </c>
      <c r="Y203" s="558" t="s">
        <v>67</v>
      </c>
      <c r="Z203" s="559" t="s">
        <v>67</v>
      </c>
      <c r="AA203" s="559" t="s">
        <v>67</v>
      </c>
      <c r="AB203" s="559" t="s">
        <v>67</v>
      </c>
      <c r="AC203" s="560" t="s">
        <v>67</v>
      </c>
      <c r="AD203" s="561" t="s">
        <v>67</v>
      </c>
      <c r="AE203" s="562" t="s">
        <v>67</v>
      </c>
      <c r="AF203" s="558" t="s">
        <v>67</v>
      </c>
      <c r="AG203" s="559" t="s">
        <v>67</v>
      </c>
      <c r="AH203" s="559" t="s">
        <v>67</v>
      </c>
      <c r="AI203" s="559" t="s">
        <v>67</v>
      </c>
      <c r="AJ203" s="560" t="s">
        <v>67</v>
      </c>
      <c r="AK203" s="561" t="s">
        <v>67</v>
      </c>
      <c r="AL203" s="562" t="s">
        <v>67</v>
      </c>
      <c r="AM203" s="558" t="s">
        <v>67</v>
      </c>
      <c r="AN203" s="559" t="s">
        <v>67</v>
      </c>
      <c r="AO203" s="559" t="s">
        <v>67</v>
      </c>
      <c r="AP203" s="559" t="s">
        <v>67</v>
      </c>
      <c r="AQ203" s="560" t="s">
        <v>67</v>
      </c>
      <c r="AR203" s="561" t="s">
        <v>67</v>
      </c>
      <c r="AS203" s="562" t="s">
        <v>67</v>
      </c>
      <c r="AT203" s="558" t="s">
        <v>67</v>
      </c>
      <c r="AU203" s="559" t="s">
        <v>67</v>
      </c>
      <c r="AV203" s="559" t="s">
        <v>67</v>
      </c>
      <c r="AW203" s="559" t="s">
        <v>67</v>
      </c>
      <c r="AX203" s="560" t="s">
        <v>67</v>
      </c>
      <c r="AY203" s="561" t="s">
        <v>67</v>
      </c>
      <c r="AZ203" s="562" t="s">
        <v>67</v>
      </c>
      <c r="BA203" s="558" t="s">
        <v>67</v>
      </c>
      <c r="BB203" s="559" t="s">
        <v>67</v>
      </c>
      <c r="BC203" s="559" t="s">
        <v>67</v>
      </c>
      <c r="BD203" s="559" t="s">
        <v>67</v>
      </c>
      <c r="BE203" s="560" t="s">
        <v>67</v>
      </c>
      <c r="BF203" s="561" t="s">
        <v>67</v>
      </c>
      <c r="BG203" s="562" t="s">
        <v>67</v>
      </c>
      <c r="BH203" s="558" t="s">
        <v>67</v>
      </c>
      <c r="BI203" s="559" t="s">
        <v>67</v>
      </c>
      <c r="BJ203" s="559" t="s">
        <v>67</v>
      </c>
      <c r="BK203" s="559" t="s">
        <v>67</v>
      </c>
      <c r="BL203" s="560" t="s">
        <v>67</v>
      </c>
      <c r="BM203" s="561" t="s">
        <v>67</v>
      </c>
      <c r="BN203" s="562" t="s">
        <v>67</v>
      </c>
      <c r="BO203" s="558" t="s">
        <v>67</v>
      </c>
      <c r="BP203" s="559" t="s">
        <v>67</v>
      </c>
      <c r="BQ203" s="559" t="s">
        <v>67</v>
      </c>
      <c r="BR203" s="559" t="s">
        <v>67</v>
      </c>
      <c r="BS203" s="560" t="s">
        <v>67</v>
      </c>
      <c r="BT203" s="561" t="s">
        <v>67</v>
      </c>
      <c r="BU203" s="562" t="s">
        <v>67</v>
      </c>
      <c r="BV203" s="558" t="s">
        <v>67</v>
      </c>
      <c r="BW203" s="559" t="s">
        <v>67</v>
      </c>
      <c r="BX203" s="559" t="s">
        <v>67</v>
      </c>
      <c r="BY203" s="559" t="s">
        <v>67</v>
      </c>
      <c r="BZ203" s="560" t="s">
        <v>67</v>
      </c>
      <c r="CA203" s="561" t="s">
        <v>67</v>
      </c>
      <c r="CB203" s="562" t="s">
        <v>67</v>
      </c>
      <c r="CC203" s="558" t="s">
        <v>67</v>
      </c>
      <c r="CD203" s="559" t="s">
        <v>67</v>
      </c>
      <c r="CE203" s="559" t="s">
        <v>67</v>
      </c>
      <c r="CF203" s="559" t="s">
        <v>67</v>
      </c>
      <c r="CG203" s="560" t="s">
        <v>67</v>
      </c>
      <c r="CH203" s="561" t="s">
        <v>67</v>
      </c>
      <c r="CI203" s="562" t="s">
        <v>67</v>
      </c>
      <c r="CJ203" s="558" t="s">
        <v>67</v>
      </c>
      <c r="CK203" s="559" t="s">
        <v>67</v>
      </c>
      <c r="CL203" s="559" t="s">
        <v>67</v>
      </c>
      <c r="CM203" s="559" t="s">
        <v>67</v>
      </c>
      <c r="CN203" s="560" t="s">
        <v>67</v>
      </c>
      <c r="CO203" s="561" t="s">
        <v>67</v>
      </c>
      <c r="CP203" s="664" t="s">
        <v>67</v>
      </c>
      <c r="CQ203" s="561" t="s">
        <v>67</v>
      </c>
      <c r="CR203" s="562" t="s">
        <v>67</v>
      </c>
      <c r="CS203" s="558" t="s">
        <v>67</v>
      </c>
      <c r="CT203" s="559" t="s">
        <v>67</v>
      </c>
      <c r="CU203" s="559" t="s">
        <v>67</v>
      </c>
      <c r="CV203" s="559" t="s">
        <v>67</v>
      </c>
      <c r="CW203" s="560" t="s">
        <v>67</v>
      </c>
      <c r="CX203" s="561" t="s">
        <v>67</v>
      </c>
      <c r="CY203" s="664" t="s">
        <v>67</v>
      </c>
      <c r="CZ203" s="561" t="s">
        <v>67</v>
      </c>
      <c r="DA203" s="562" t="s">
        <v>67</v>
      </c>
      <c r="DB203" s="558" t="s">
        <v>67</v>
      </c>
      <c r="DC203" s="559" t="s">
        <v>67</v>
      </c>
      <c r="DD203" s="559" t="s">
        <v>67</v>
      </c>
      <c r="DE203" s="559" t="s">
        <v>67</v>
      </c>
      <c r="DF203" s="560" t="s">
        <v>67</v>
      </c>
      <c r="DG203" s="561" t="s">
        <v>67</v>
      </c>
      <c r="DH203" s="664" t="s">
        <v>67</v>
      </c>
      <c r="DI203" s="561" t="s">
        <v>67</v>
      </c>
      <c r="DJ203" s="562" t="s">
        <v>67</v>
      </c>
      <c r="DK203" s="558" t="s">
        <v>67</v>
      </c>
      <c r="DL203" s="559" t="s">
        <v>67</v>
      </c>
      <c r="DM203" s="559" t="s">
        <v>67</v>
      </c>
      <c r="DN203" s="559" t="s">
        <v>67</v>
      </c>
      <c r="DO203" s="560" t="s">
        <v>67</v>
      </c>
      <c r="DP203" s="561" t="s">
        <v>67</v>
      </c>
      <c r="DQ203" s="664" t="s">
        <v>67</v>
      </c>
      <c r="DR203" s="561" t="s">
        <v>67</v>
      </c>
      <c r="DS203" s="562" t="s">
        <v>67</v>
      </c>
      <c r="DT203" s="558" t="s">
        <v>67</v>
      </c>
      <c r="DU203" s="559" t="s">
        <v>67</v>
      </c>
      <c r="DV203" s="559" t="s">
        <v>67</v>
      </c>
      <c r="DW203" s="559" t="s">
        <v>67</v>
      </c>
      <c r="DX203" s="560" t="s">
        <v>67</v>
      </c>
      <c r="DY203" s="561" t="s">
        <v>67</v>
      </c>
      <c r="DZ203" s="664" t="s">
        <v>67</v>
      </c>
      <c r="EA203" s="561" t="s">
        <v>67</v>
      </c>
      <c r="EB203" s="562" t="s">
        <v>67</v>
      </c>
    </row>
    <row r="204" spans="1:132" s="2" customFormat="1" ht="25.5" x14ac:dyDescent="0.25">
      <c r="A204" s="577" t="s">
        <v>479</v>
      </c>
      <c r="B204" s="489" t="s">
        <v>480</v>
      </c>
      <c r="C204" s="565" t="s">
        <v>199</v>
      </c>
      <c r="D204" s="558">
        <v>273</v>
      </c>
      <c r="E204" s="559">
        <v>273</v>
      </c>
      <c r="F204" s="559">
        <v>273</v>
      </c>
      <c r="G204" s="559">
        <v>224</v>
      </c>
      <c r="H204" s="560">
        <v>224</v>
      </c>
      <c r="I204" s="561">
        <f t="shared" si="250"/>
        <v>0.82051282051282048</v>
      </c>
      <c r="J204" s="562">
        <f t="shared" si="251"/>
        <v>0.82051282051282048</v>
      </c>
      <c r="K204" s="558">
        <v>154</v>
      </c>
      <c r="L204" s="559">
        <v>153</v>
      </c>
      <c r="M204" s="559">
        <v>153</v>
      </c>
      <c r="N204" s="559">
        <v>124</v>
      </c>
      <c r="O204" s="560">
        <v>124</v>
      </c>
      <c r="P204" s="561">
        <f>N204/L204</f>
        <v>0.81045751633986929</v>
      </c>
      <c r="Q204" s="562">
        <f>N204/M204</f>
        <v>0.81045751633986929</v>
      </c>
      <c r="R204" s="558">
        <v>115</v>
      </c>
      <c r="S204" s="559">
        <v>111</v>
      </c>
      <c r="T204" s="559">
        <v>111</v>
      </c>
      <c r="U204" s="559">
        <v>87</v>
      </c>
      <c r="V204" s="560">
        <v>87</v>
      </c>
      <c r="W204" s="561">
        <f t="shared" ref="W204:W243" si="372">U204/S204</f>
        <v>0.78378378378378377</v>
      </c>
      <c r="X204" s="562">
        <f t="shared" ref="X204:X243" si="373">U204/T204</f>
        <v>0.78378378378378377</v>
      </c>
      <c r="Y204" s="558">
        <v>81</v>
      </c>
      <c r="Z204" s="559">
        <v>79</v>
      </c>
      <c r="AA204" s="559">
        <v>79</v>
      </c>
      <c r="AB204" s="559">
        <v>71</v>
      </c>
      <c r="AC204" s="560">
        <v>71</v>
      </c>
      <c r="AD204" s="561">
        <f>AB204/Z204</f>
        <v>0.89873417721518989</v>
      </c>
      <c r="AE204" s="562">
        <f>AB204/AA204</f>
        <v>0.89873417721518989</v>
      </c>
      <c r="AF204" s="558">
        <v>56</v>
      </c>
      <c r="AG204" s="559">
        <v>56</v>
      </c>
      <c r="AH204" s="559">
        <v>56</v>
      </c>
      <c r="AI204" s="559">
        <v>47</v>
      </c>
      <c r="AJ204" s="560">
        <v>47</v>
      </c>
      <c r="AK204" s="561">
        <f>AI204/AG204</f>
        <v>0.8392857142857143</v>
      </c>
      <c r="AL204" s="562">
        <f>AI204/AH204</f>
        <v>0.8392857142857143</v>
      </c>
      <c r="AM204" s="558" t="s">
        <v>67</v>
      </c>
      <c r="AN204" s="559" t="s">
        <v>67</v>
      </c>
      <c r="AO204" s="559" t="s">
        <v>67</v>
      </c>
      <c r="AP204" s="559" t="s">
        <v>67</v>
      </c>
      <c r="AQ204" s="560" t="s">
        <v>67</v>
      </c>
      <c r="AR204" s="561" t="s">
        <v>67</v>
      </c>
      <c r="AS204" s="562" t="s">
        <v>67</v>
      </c>
      <c r="AT204" s="558" t="s">
        <v>67</v>
      </c>
      <c r="AU204" s="559" t="s">
        <v>67</v>
      </c>
      <c r="AV204" s="559" t="s">
        <v>67</v>
      </c>
      <c r="AW204" s="559" t="s">
        <v>67</v>
      </c>
      <c r="AX204" s="560" t="s">
        <v>67</v>
      </c>
      <c r="AY204" s="561" t="s">
        <v>67</v>
      </c>
      <c r="AZ204" s="562" t="s">
        <v>67</v>
      </c>
      <c r="BA204" s="558" t="s">
        <v>67</v>
      </c>
      <c r="BB204" s="559" t="s">
        <v>67</v>
      </c>
      <c r="BC204" s="559" t="s">
        <v>67</v>
      </c>
      <c r="BD204" s="559" t="s">
        <v>67</v>
      </c>
      <c r="BE204" s="560" t="s">
        <v>67</v>
      </c>
      <c r="BF204" s="561" t="s">
        <v>67</v>
      </c>
      <c r="BG204" s="562" t="s">
        <v>67</v>
      </c>
      <c r="BH204" s="558" t="s">
        <v>67</v>
      </c>
      <c r="BI204" s="559" t="s">
        <v>67</v>
      </c>
      <c r="BJ204" s="559" t="s">
        <v>67</v>
      </c>
      <c r="BK204" s="559" t="s">
        <v>67</v>
      </c>
      <c r="BL204" s="560" t="s">
        <v>67</v>
      </c>
      <c r="BM204" s="561" t="s">
        <v>67</v>
      </c>
      <c r="BN204" s="562" t="s">
        <v>67</v>
      </c>
      <c r="BO204" s="558" t="s">
        <v>67</v>
      </c>
      <c r="BP204" s="559" t="s">
        <v>67</v>
      </c>
      <c r="BQ204" s="559" t="s">
        <v>67</v>
      </c>
      <c r="BR204" s="559" t="s">
        <v>67</v>
      </c>
      <c r="BS204" s="560" t="s">
        <v>67</v>
      </c>
      <c r="BT204" s="561" t="s">
        <v>67</v>
      </c>
      <c r="BU204" s="562" t="s">
        <v>67</v>
      </c>
      <c r="BV204" s="558" t="s">
        <v>67</v>
      </c>
      <c r="BW204" s="559" t="s">
        <v>67</v>
      </c>
      <c r="BX204" s="559" t="s">
        <v>67</v>
      </c>
      <c r="BY204" s="559" t="s">
        <v>67</v>
      </c>
      <c r="BZ204" s="560" t="s">
        <v>67</v>
      </c>
      <c r="CA204" s="561" t="s">
        <v>67</v>
      </c>
      <c r="CB204" s="562" t="s">
        <v>67</v>
      </c>
      <c r="CC204" s="558" t="s">
        <v>67</v>
      </c>
      <c r="CD204" s="559" t="s">
        <v>67</v>
      </c>
      <c r="CE204" s="559" t="s">
        <v>67</v>
      </c>
      <c r="CF204" s="559" t="s">
        <v>67</v>
      </c>
      <c r="CG204" s="560" t="s">
        <v>67</v>
      </c>
      <c r="CH204" s="561" t="s">
        <v>67</v>
      </c>
      <c r="CI204" s="562" t="s">
        <v>67</v>
      </c>
      <c r="CJ204" s="558" t="s">
        <v>67</v>
      </c>
      <c r="CK204" s="559" t="s">
        <v>67</v>
      </c>
      <c r="CL204" s="559" t="s">
        <v>67</v>
      </c>
      <c r="CM204" s="559" t="s">
        <v>67</v>
      </c>
      <c r="CN204" s="560" t="s">
        <v>67</v>
      </c>
      <c r="CO204" s="561" t="s">
        <v>67</v>
      </c>
      <c r="CP204" s="664" t="s">
        <v>67</v>
      </c>
      <c r="CQ204" s="561" t="s">
        <v>67</v>
      </c>
      <c r="CR204" s="562" t="s">
        <v>67</v>
      </c>
      <c r="CS204" s="558" t="s">
        <v>67</v>
      </c>
      <c r="CT204" s="559" t="s">
        <v>67</v>
      </c>
      <c r="CU204" s="559" t="s">
        <v>67</v>
      </c>
      <c r="CV204" s="559" t="s">
        <v>67</v>
      </c>
      <c r="CW204" s="560" t="s">
        <v>67</v>
      </c>
      <c r="CX204" s="561" t="s">
        <v>67</v>
      </c>
      <c r="CY204" s="664" t="s">
        <v>67</v>
      </c>
      <c r="CZ204" s="561" t="s">
        <v>67</v>
      </c>
      <c r="DA204" s="562" t="s">
        <v>67</v>
      </c>
      <c r="DB204" s="558" t="s">
        <v>67</v>
      </c>
      <c r="DC204" s="559" t="s">
        <v>67</v>
      </c>
      <c r="DD204" s="559" t="s">
        <v>67</v>
      </c>
      <c r="DE204" s="559" t="s">
        <v>67</v>
      </c>
      <c r="DF204" s="560" t="s">
        <v>67</v>
      </c>
      <c r="DG204" s="561" t="s">
        <v>67</v>
      </c>
      <c r="DH204" s="664" t="s">
        <v>67</v>
      </c>
      <c r="DI204" s="561" t="s">
        <v>67</v>
      </c>
      <c r="DJ204" s="562" t="s">
        <v>67</v>
      </c>
      <c r="DK204" s="558" t="s">
        <v>67</v>
      </c>
      <c r="DL204" s="559" t="s">
        <v>67</v>
      </c>
      <c r="DM204" s="559" t="s">
        <v>67</v>
      </c>
      <c r="DN204" s="559" t="s">
        <v>67</v>
      </c>
      <c r="DO204" s="560" t="s">
        <v>67</v>
      </c>
      <c r="DP204" s="561" t="s">
        <v>67</v>
      </c>
      <c r="DQ204" s="664" t="s">
        <v>67</v>
      </c>
      <c r="DR204" s="561" t="s">
        <v>67</v>
      </c>
      <c r="DS204" s="562" t="s">
        <v>67</v>
      </c>
      <c r="DT204" s="558" t="s">
        <v>67</v>
      </c>
      <c r="DU204" s="559" t="s">
        <v>67</v>
      </c>
      <c r="DV204" s="559" t="s">
        <v>67</v>
      </c>
      <c r="DW204" s="559" t="s">
        <v>67</v>
      </c>
      <c r="DX204" s="560" t="s">
        <v>67</v>
      </c>
      <c r="DY204" s="561" t="s">
        <v>67</v>
      </c>
      <c r="DZ204" s="664" t="s">
        <v>67</v>
      </c>
      <c r="EA204" s="561" t="s">
        <v>67</v>
      </c>
      <c r="EB204" s="562" t="s">
        <v>67</v>
      </c>
    </row>
    <row r="205" spans="1:132" s="2" customFormat="1" ht="25.5" x14ac:dyDescent="0.25">
      <c r="A205" s="577" t="s">
        <v>481</v>
      </c>
      <c r="B205" s="489" t="s">
        <v>482</v>
      </c>
      <c r="C205" s="565" t="s">
        <v>199</v>
      </c>
      <c r="D205" s="558">
        <v>1018</v>
      </c>
      <c r="E205" s="559">
        <v>1009</v>
      </c>
      <c r="F205" s="559">
        <v>1009</v>
      </c>
      <c r="G205" s="559">
        <v>1004</v>
      </c>
      <c r="H205" s="560">
        <v>1004</v>
      </c>
      <c r="I205" s="561">
        <f t="shared" si="250"/>
        <v>0.99504459861248762</v>
      </c>
      <c r="J205" s="562">
        <f t="shared" si="251"/>
        <v>0.99504459861248762</v>
      </c>
      <c r="K205" s="558">
        <v>686</v>
      </c>
      <c r="L205" s="559">
        <v>677</v>
      </c>
      <c r="M205" s="559">
        <v>677</v>
      </c>
      <c r="N205" s="559">
        <v>668</v>
      </c>
      <c r="O205" s="560">
        <v>668</v>
      </c>
      <c r="P205" s="561">
        <f>N205/L205</f>
        <v>0.98670605612998519</v>
      </c>
      <c r="Q205" s="562">
        <f>N205/M205</f>
        <v>0.98670605612998519</v>
      </c>
      <c r="R205" s="558">
        <v>719</v>
      </c>
      <c r="S205" s="559">
        <v>715</v>
      </c>
      <c r="T205" s="559">
        <v>715</v>
      </c>
      <c r="U205" s="559">
        <v>705</v>
      </c>
      <c r="V205" s="560">
        <v>705</v>
      </c>
      <c r="W205" s="561">
        <f t="shared" si="372"/>
        <v>0.98601398601398604</v>
      </c>
      <c r="X205" s="562">
        <f t="shared" si="373"/>
        <v>0.98601398601398604</v>
      </c>
      <c r="Y205" s="558">
        <v>1024</v>
      </c>
      <c r="Z205" s="559">
        <v>1009</v>
      </c>
      <c r="AA205" s="559">
        <v>1009</v>
      </c>
      <c r="AB205" s="559">
        <v>934</v>
      </c>
      <c r="AC205" s="560">
        <v>934</v>
      </c>
      <c r="AD205" s="561">
        <f>AB205/Z205</f>
        <v>0.92566897918731417</v>
      </c>
      <c r="AE205" s="562">
        <f>AB205/AA205</f>
        <v>0.92566897918731417</v>
      </c>
      <c r="AF205" s="558">
        <v>671</v>
      </c>
      <c r="AG205" s="559">
        <v>634</v>
      </c>
      <c r="AH205" s="559">
        <v>548</v>
      </c>
      <c r="AI205" s="559">
        <v>548</v>
      </c>
      <c r="AJ205" s="560">
        <v>449</v>
      </c>
      <c r="AK205" s="561">
        <f>AI205/AG205</f>
        <v>0.86435331230283907</v>
      </c>
      <c r="AL205" s="562">
        <f>AI205/AH205</f>
        <v>1</v>
      </c>
      <c r="AM205" s="558">
        <v>375</v>
      </c>
      <c r="AN205" s="559">
        <v>364</v>
      </c>
      <c r="AO205" s="559">
        <v>311</v>
      </c>
      <c r="AP205" s="559">
        <v>311</v>
      </c>
      <c r="AQ205" s="560">
        <v>239</v>
      </c>
      <c r="AR205" s="561">
        <f>AP205/AN205</f>
        <v>0.85439560439560436</v>
      </c>
      <c r="AS205" s="562">
        <f>AP205/AO205</f>
        <v>1</v>
      </c>
      <c r="AT205" s="558">
        <v>314</v>
      </c>
      <c r="AU205" s="559">
        <v>313</v>
      </c>
      <c r="AV205" s="559">
        <v>294</v>
      </c>
      <c r="AW205" s="559">
        <v>294</v>
      </c>
      <c r="AX205" s="560">
        <v>276</v>
      </c>
      <c r="AY205" s="561">
        <f>AW205/AU205</f>
        <v>0.93929712460063897</v>
      </c>
      <c r="AZ205" s="562">
        <f>AW205/AV205</f>
        <v>1</v>
      </c>
      <c r="BA205" s="558">
        <v>307</v>
      </c>
      <c r="BB205" s="559">
        <v>304</v>
      </c>
      <c r="BC205" s="559">
        <v>298</v>
      </c>
      <c r="BD205" s="559">
        <v>298</v>
      </c>
      <c r="BE205" s="560">
        <v>277</v>
      </c>
      <c r="BF205" s="561">
        <f>BD205/BB205</f>
        <v>0.98026315789473684</v>
      </c>
      <c r="BG205" s="562">
        <f>BD205/BC205</f>
        <v>1</v>
      </c>
      <c r="BH205" s="558" t="s">
        <v>67</v>
      </c>
      <c r="BI205" s="559" t="s">
        <v>67</v>
      </c>
      <c r="BJ205" s="559" t="s">
        <v>67</v>
      </c>
      <c r="BK205" s="559" t="s">
        <v>67</v>
      </c>
      <c r="BL205" s="560" t="s">
        <v>67</v>
      </c>
      <c r="BM205" s="561" t="s">
        <v>67</v>
      </c>
      <c r="BN205" s="562" t="s">
        <v>67</v>
      </c>
      <c r="BO205" s="558" t="s">
        <v>67</v>
      </c>
      <c r="BP205" s="559" t="s">
        <v>67</v>
      </c>
      <c r="BQ205" s="559" t="s">
        <v>67</v>
      </c>
      <c r="BR205" s="559" t="s">
        <v>67</v>
      </c>
      <c r="BS205" s="560" t="s">
        <v>67</v>
      </c>
      <c r="BT205" s="561" t="s">
        <v>67</v>
      </c>
      <c r="BU205" s="562" t="s">
        <v>67</v>
      </c>
      <c r="BV205" s="558" t="s">
        <v>67</v>
      </c>
      <c r="BW205" s="559" t="s">
        <v>67</v>
      </c>
      <c r="BX205" s="559" t="s">
        <v>67</v>
      </c>
      <c r="BY205" s="559" t="s">
        <v>67</v>
      </c>
      <c r="BZ205" s="560" t="s">
        <v>67</v>
      </c>
      <c r="CA205" s="561" t="s">
        <v>67</v>
      </c>
      <c r="CB205" s="562" t="s">
        <v>67</v>
      </c>
      <c r="CC205" s="558" t="s">
        <v>67</v>
      </c>
      <c r="CD205" s="559" t="s">
        <v>67</v>
      </c>
      <c r="CE205" s="559" t="s">
        <v>67</v>
      </c>
      <c r="CF205" s="559" t="s">
        <v>67</v>
      </c>
      <c r="CG205" s="560" t="s">
        <v>67</v>
      </c>
      <c r="CH205" s="561" t="s">
        <v>67</v>
      </c>
      <c r="CI205" s="562" t="s">
        <v>67</v>
      </c>
      <c r="CJ205" s="558" t="s">
        <v>67</v>
      </c>
      <c r="CK205" s="559" t="s">
        <v>67</v>
      </c>
      <c r="CL205" s="559" t="s">
        <v>67</v>
      </c>
      <c r="CM205" s="559" t="s">
        <v>67</v>
      </c>
      <c r="CN205" s="560" t="s">
        <v>67</v>
      </c>
      <c r="CO205" s="561" t="s">
        <v>67</v>
      </c>
      <c r="CP205" s="664" t="s">
        <v>67</v>
      </c>
      <c r="CQ205" s="561" t="s">
        <v>67</v>
      </c>
      <c r="CR205" s="562" t="s">
        <v>67</v>
      </c>
      <c r="CS205" s="558" t="s">
        <v>67</v>
      </c>
      <c r="CT205" s="559" t="s">
        <v>67</v>
      </c>
      <c r="CU205" s="559" t="s">
        <v>67</v>
      </c>
      <c r="CV205" s="559" t="s">
        <v>67</v>
      </c>
      <c r="CW205" s="560" t="s">
        <v>67</v>
      </c>
      <c r="CX205" s="561" t="s">
        <v>67</v>
      </c>
      <c r="CY205" s="664" t="s">
        <v>67</v>
      </c>
      <c r="CZ205" s="561" t="s">
        <v>67</v>
      </c>
      <c r="DA205" s="562" t="s">
        <v>67</v>
      </c>
      <c r="DB205" s="558" t="s">
        <v>67</v>
      </c>
      <c r="DC205" s="559" t="s">
        <v>67</v>
      </c>
      <c r="DD205" s="559" t="s">
        <v>67</v>
      </c>
      <c r="DE205" s="559" t="s">
        <v>67</v>
      </c>
      <c r="DF205" s="560" t="s">
        <v>67</v>
      </c>
      <c r="DG205" s="561" t="s">
        <v>67</v>
      </c>
      <c r="DH205" s="664" t="s">
        <v>67</v>
      </c>
      <c r="DI205" s="561" t="s">
        <v>67</v>
      </c>
      <c r="DJ205" s="562" t="s">
        <v>67</v>
      </c>
      <c r="DK205" s="558" t="s">
        <v>67</v>
      </c>
      <c r="DL205" s="559" t="s">
        <v>67</v>
      </c>
      <c r="DM205" s="559" t="s">
        <v>67</v>
      </c>
      <c r="DN205" s="559" t="s">
        <v>67</v>
      </c>
      <c r="DO205" s="560" t="s">
        <v>67</v>
      </c>
      <c r="DP205" s="561" t="s">
        <v>67</v>
      </c>
      <c r="DQ205" s="664" t="s">
        <v>67</v>
      </c>
      <c r="DR205" s="561" t="s">
        <v>67</v>
      </c>
      <c r="DS205" s="562" t="s">
        <v>67</v>
      </c>
      <c r="DT205" s="558" t="s">
        <v>67</v>
      </c>
      <c r="DU205" s="559" t="s">
        <v>67</v>
      </c>
      <c r="DV205" s="559" t="s">
        <v>67</v>
      </c>
      <c r="DW205" s="559" t="s">
        <v>67</v>
      </c>
      <c r="DX205" s="560" t="s">
        <v>67</v>
      </c>
      <c r="DY205" s="561" t="s">
        <v>67</v>
      </c>
      <c r="DZ205" s="664" t="s">
        <v>67</v>
      </c>
      <c r="EA205" s="561" t="s">
        <v>67</v>
      </c>
      <c r="EB205" s="562" t="s">
        <v>67</v>
      </c>
    </row>
    <row r="206" spans="1:132" s="2" customFormat="1" ht="25.5" x14ac:dyDescent="0.25">
      <c r="A206" s="577" t="s">
        <v>483</v>
      </c>
      <c r="B206" s="489" t="s">
        <v>484</v>
      </c>
      <c r="C206" s="565" t="s">
        <v>199</v>
      </c>
      <c r="D206" s="558" t="s">
        <v>21</v>
      </c>
      <c r="E206" s="559" t="s">
        <v>21</v>
      </c>
      <c r="F206" s="559" t="s">
        <v>21</v>
      </c>
      <c r="G206" s="559" t="s">
        <v>21</v>
      </c>
      <c r="H206" s="560" t="s">
        <v>21</v>
      </c>
      <c r="I206" s="561" t="s">
        <v>67</v>
      </c>
      <c r="J206" s="562" t="s">
        <v>67</v>
      </c>
      <c r="K206" s="558" t="s">
        <v>21</v>
      </c>
      <c r="L206" s="559" t="s">
        <v>21</v>
      </c>
      <c r="M206" s="559" t="s">
        <v>21</v>
      </c>
      <c r="N206" s="559" t="s">
        <v>21</v>
      </c>
      <c r="O206" s="560" t="s">
        <v>21</v>
      </c>
      <c r="P206" s="561" t="s">
        <v>67</v>
      </c>
      <c r="Q206" s="562" t="s">
        <v>67</v>
      </c>
      <c r="R206" s="558" t="s">
        <v>67</v>
      </c>
      <c r="S206" s="559" t="s">
        <v>67</v>
      </c>
      <c r="T206" s="559" t="s">
        <v>67</v>
      </c>
      <c r="U206" s="559" t="s">
        <v>67</v>
      </c>
      <c r="V206" s="560" t="s">
        <v>67</v>
      </c>
      <c r="W206" s="561" t="s">
        <v>67</v>
      </c>
      <c r="X206" s="562" t="s">
        <v>67</v>
      </c>
      <c r="Y206" s="558" t="s">
        <v>67</v>
      </c>
      <c r="Z206" s="559" t="s">
        <v>67</v>
      </c>
      <c r="AA206" s="559" t="s">
        <v>67</v>
      </c>
      <c r="AB206" s="559" t="s">
        <v>67</v>
      </c>
      <c r="AC206" s="560" t="s">
        <v>67</v>
      </c>
      <c r="AD206" s="561" t="s">
        <v>67</v>
      </c>
      <c r="AE206" s="562" t="s">
        <v>67</v>
      </c>
      <c r="AF206" s="558" t="s">
        <v>67</v>
      </c>
      <c r="AG206" s="559" t="s">
        <v>67</v>
      </c>
      <c r="AH206" s="559" t="s">
        <v>67</v>
      </c>
      <c r="AI206" s="559" t="s">
        <v>67</v>
      </c>
      <c r="AJ206" s="560" t="s">
        <v>67</v>
      </c>
      <c r="AK206" s="561" t="s">
        <v>67</v>
      </c>
      <c r="AL206" s="562" t="s">
        <v>67</v>
      </c>
      <c r="AM206" s="558" t="s">
        <v>67</v>
      </c>
      <c r="AN206" s="559" t="s">
        <v>67</v>
      </c>
      <c r="AO206" s="559" t="s">
        <v>67</v>
      </c>
      <c r="AP206" s="559" t="s">
        <v>67</v>
      </c>
      <c r="AQ206" s="560" t="s">
        <v>67</v>
      </c>
      <c r="AR206" s="561" t="s">
        <v>67</v>
      </c>
      <c r="AS206" s="562" t="s">
        <v>67</v>
      </c>
      <c r="AT206" s="558" t="s">
        <v>67</v>
      </c>
      <c r="AU206" s="559" t="s">
        <v>67</v>
      </c>
      <c r="AV206" s="559" t="s">
        <v>67</v>
      </c>
      <c r="AW206" s="559" t="s">
        <v>67</v>
      </c>
      <c r="AX206" s="560" t="s">
        <v>67</v>
      </c>
      <c r="AY206" s="561" t="s">
        <v>67</v>
      </c>
      <c r="AZ206" s="562" t="s">
        <v>67</v>
      </c>
      <c r="BA206" s="558" t="s">
        <v>67</v>
      </c>
      <c r="BB206" s="559" t="s">
        <v>67</v>
      </c>
      <c r="BC206" s="559" t="s">
        <v>67</v>
      </c>
      <c r="BD206" s="559" t="s">
        <v>67</v>
      </c>
      <c r="BE206" s="560" t="s">
        <v>67</v>
      </c>
      <c r="BF206" s="561" t="s">
        <v>67</v>
      </c>
      <c r="BG206" s="562" t="s">
        <v>67</v>
      </c>
      <c r="BH206" s="558" t="s">
        <v>67</v>
      </c>
      <c r="BI206" s="559" t="s">
        <v>67</v>
      </c>
      <c r="BJ206" s="559" t="s">
        <v>67</v>
      </c>
      <c r="BK206" s="559" t="s">
        <v>67</v>
      </c>
      <c r="BL206" s="560" t="s">
        <v>67</v>
      </c>
      <c r="BM206" s="561" t="s">
        <v>67</v>
      </c>
      <c r="BN206" s="562" t="s">
        <v>67</v>
      </c>
      <c r="BO206" s="558" t="s">
        <v>67</v>
      </c>
      <c r="BP206" s="559" t="s">
        <v>67</v>
      </c>
      <c r="BQ206" s="559" t="s">
        <v>67</v>
      </c>
      <c r="BR206" s="559" t="s">
        <v>67</v>
      </c>
      <c r="BS206" s="560" t="s">
        <v>67</v>
      </c>
      <c r="BT206" s="561" t="s">
        <v>67</v>
      </c>
      <c r="BU206" s="562" t="s">
        <v>67</v>
      </c>
      <c r="BV206" s="558" t="s">
        <v>67</v>
      </c>
      <c r="BW206" s="559" t="s">
        <v>67</v>
      </c>
      <c r="BX206" s="559" t="s">
        <v>67</v>
      </c>
      <c r="BY206" s="559" t="s">
        <v>67</v>
      </c>
      <c r="BZ206" s="560" t="s">
        <v>67</v>
      </c>
      <c r="CA206" s="561" t="s">
        <v>67</v>
      </c>
      <c r="CB206" s="562" t="s">
        <v>67</v>
      </c>
      <c r="CC206" s="558" t="s">
        <v>67</v>
      </c>
      <c r="CD206" s="559" t="s">
        <v>67</v>
      </c>
      <c r="CE206" s="559" t="s">
        <v>67</v>
      </c>
      <c r="CF206" s="559" t="s">
        <v>67</v>
      </c>
      <c r="CG206" s="560" t="s">
        <v>67</v>
      </c>
      <c r="CH206" s="561" t="s">
        <v>67</v>
      </c>
      <c r="CI206" s="562" t="s">
        <v>67</v>
      </c>
      <c r="CJ206" s="558" t="s">
        <v>67</v>
      </c>
      <c r="CK206" s="559" t="s">
        <v>67</v>
      </c>
      <c r="CL206" s="559" t="s">
        <v>67</v>
      </c>
      <c r="CM206" s="559" t="s">
        <v>67</v>
      </c>
      <c r="CN206" s="560" t="s">
        <v>67</v>
      </c>
      <c r="CO206" s="561" t="s">
        <v>67</v>
      </c>
      <c r="CP206" s="664" t="s">
        <v>67</v>
      </c>
      <c r="CQ206" s="561" t="s">
        <v>67</v>
      </c>
      <c r="CR206" s="562" t="s">
        <v>67</v>
      </c>
      <c r="CS206" s="558" t="s">
        <v>67</v>
      </c>
      <c r="CT206" s="559" t="s">
        <v>67</v>
      </c>
      <c r="CU206" s="559" t="s">
        <v>67</v>
      </c>
      <c r="CV206" s="559" t="s">
        <v>67</v>
      </c>
      <c r="CW206" s="560" t="s">
        <v>67</v>
      </c>
      <c r="CX206" s="561" t="s">
        <v>67</v>
      </c>
      <c r="CY206" s="664" t="s">
        <v>67</v>
      </c>
      <c r="CZ206" s="561" t="s">
        <v>67</v>
      </c>
      <c r="DA206" s="562" t="s">
        <v>67</v>
      </c>
      <c r="DB206" s="558" t="s">
        <v>67</v>
      </c>
      <c r="DC206" s="559" t="s">
        <v>67</v>
      </c>
      <c r="DD206" s="559" t="s">
        <v>67</v>
      </c>
      <c r="DE206" s="559" t="s">
        <v>67</v>
      </c>
      <c r="DF206" s="560" t="s">
        <v>67</v>
      </c>
      <c r="DG206" s="561" t="s">
        <v>67</v>
      </c>
      <c r="DH206" s="664" t="s">
        <v>67</v>
      </c>
      <c r="DI206" s="561" t="s">
        <v>67</v>
      </c>
      <c r="DJ206" s="562" t="s">
        <v>67</v>
      </c>
      <c r="DK206" s="558" t="s">
        <v>67</v>
      </c>
      <c r="DL206" s="559" t="s">
        <v>67</v>
      </c>
      <c r="DM206" s="559" t="s">
        <v>67</v>
      </c>
      <c r="DN206" s="559" t="s">
        <v>67</v>
      </c>
      <c r="DO206" s="560" t="s">
        <v>67</v>
      </c>
      <c r="DP206" s="561" t="s">
        <v>67</v>
      </c>
      <c r="DQ206" s="664" t="s">
        <v>67</v>
      </c>
      <c r="DR206" s="561" t="s">
        <v>67</v>
      </c>
      <c r="DS206" s="562" t="s">
        <v>67</v>
      </c>
      <c r="DT206" s="558" t="s">
        <v>67</v>
      </c>
      <c r="DU206" s="559" t="s">
        <v>67</v>
      </c>
      <c r="DV206" s="559" t="s">
        <v>67</v>
      </c>
      <c r="DW206" s="559" t="s">
        <v>67</v>
      </c>
      <c r="DX206" s="560" t="s">
        <v>67</v>
      </c>
      <c r="DY206" s="561" t="s">
        <v>67</v>
      </c>
      <c r="DZ206" s="664" t="s">
        <v>67</v>
      </c>
      <c r="EA206" s="561" t="s">
        <v>67</v>
      </c>
      <c r="EB206" s="562" t="s">
        <v>67</v>
      </c>
    </row>
    <row r="207" spans="1:132" s="2" customFormat="1" x14ac:dyDescent="0.25">
      <c r="A207" s="577" t="s">
        <v>566</v>
      </c>
      <c r="B207" s="489" t="s">
        <v>485</v>
      </c>
      <c r="C207" s="565" t="s">
        <v>199</v>
      </c>
      <c r="D207" s="558">
        <v>59</v>
      </c>
      <c r="E207" s="559">
        <v>42</v>
      </c>
      <c r="F207" s="559">
        <v>39</v>
      </c>
      <c r="G207" s="559">
        <v>37</v>
      </c>
      <c r="H207" s="560">
        <v>34</v>
      </c>
      <c r="I207" s="561">
        <f t="shared" ref="I207:I243" si="374">G207/E207</f>
        <v>0.88095238095238093</v>
      </c>
      <c r="J207" s="562">
        <f t="shared" ref="J207:J243" si="375">G207/F207</f>
        <v>0.94871794871794868</v>
      </c>
      <c r="K207" s="558">
        <v>42</v>
      </c>
      <c r="L207" s="559">
        <v>40</v>
      </c>
      <c r="M207" s="559">
        <v>38</v>
      </c>
      <c r="N207" s="559">
        <v>36</v>
      </c>
      <c r="O207" s="560">
        <v>33</v>
      </c>
      <c r="P207" s="561">
        <f>N207/L207</f>
        <v>0.9</v>
      </c>
      <c r="Q207" s="562">
        <f>N207/M207</f>
        <v>0.94736842105263153</v>
      </c>
      <c r="R207" s="558">
        <v>30</v>
      </c>
      <c r="S207" s="559">
        <v>30</v>
      </c>
      <c r="T207" s="559">
        <v>26</v>
      </c>
      <c r="U207" s="559">
        <v>26</v>
      </c>
      <c r="V207" s="560">
        <v>22</v>
      </c>
      <c r="W207" s="561">
        <f t="shared" si="372"/>
        <v>0.8666666666666667</v>
      </c>
      <c r="X207" s="562">
        <f t="shared" si="373"/>
        <v>1</v>
      </c>
      <c r="Y207" s="558">
        <v>29</v>
      </c>
      <c r="Z207" s="559">
        <v>29</v>
      </c>
      <c r="AA207" s="559">
        <v>23</v>
      </c>
      <c r="AB207" s="559">
        <v>23</v>
      </c>
      <c r="AC207" s="560">
        <v>23</v>
      </c>
      <c r="AD207" s="561">
        <f>AB207/Z207</f>
        <v>0.7931034482758621</v>
      </c>
      <c r="AE207" s="562">
        <f>AB207/AA207</f>
        <v>1</v>
      </c>
      <c r="AF207" s="558">
        <v>29</v>
      </c>
      <c r="AG207" s="559">
        <v>29</v>
      </c>
      <c r="AH207" s="559">
        <v>25</v>
      </c>
      <c r="AI207" s="559">
        <v>25</v>
      </c>
      <c r="AJ207" s="560">
        <v>23</v>
      </c>
      <c r="AK207" s="561">
        <f>AI207/AG207</f>
        <v>0.86206896551724133</v>
      </c>
      <c r="AL207" s="562">
        <f>AI207/AH207</f>
        <v>1</v>
      </c>
      <c r="AM207" s="558">
        <v>64</v>
      </c>
      <c r="AN207" s="559">
        <v>60</v>
      </c>
      <c r="AO207" s="559">
        <v>43</v>
      </c>
      <c r="AP207" s="559">
        <v>43</v>
      </c>
      <c r="AQ207" s="560">
        <v>37</v>
      </c>
      <c r="AR207" s="561">
        <f>AP207/AN207</f>
        <v>0.71666666666666667</v>
      </c>
      <c r="AS207" s="562">
        <f>AP207/AO207</f>
        <v>1</v>
      </c>
      <c r="AT207" s="558">
        <v>37</v>
      </c>
      <c r="AU207" s="559">
        <v>37</v>
      </c>
      <c r="AV207" s="559">
        <v>31</v>
      </c>
      <c r="AW207" s="559">
        <v>31</v>
      </c>
      <c r="AX207" s="560">
        <v>31</v>
      </c>
      <c r="AY207" s="561">
        <f>AW207/AU207</f>
        <v>0.83783783783783783</v>
      </c>
      <c r="AZ207" s="562">
        <f>AW207/AV207</f>
        <v>1</v>
      </c>
      <c r="BA207" s="558">
        <v>31</v>
      </c>
      <c r="BB207" s="559">
        <v>29</v>
      </c>
      <c r="BC207" s="559">
        <v>25</v>
      </c>
      <c r="BD207" s="559">
        <v>25</v>
      </c>
      <c r="BE207" s="560">
        <v>24</v>
      </c>
      <c r="BF207" s="561">
        <f>BD207/BB207</f>
        <v>0.86206896551724133</v>
      </c>
      <c r="BG207" s="562">
        <f>BD207/BC207</f>
        <v>1</v>
      </c>
      <c r="BH207" s="558">
        <v>23</v>
      </c>
      <c r="BI207" s="559">
        <v>22</v>
      </c>
      <c r="BJ207" s="559">
        <v>15</v>
      </c>
      <c r="BK207" s="559">
        <v>15</v>
      </c>
      <c r="BL207" s="560">
        <v>15</v>
      </c>
      <c r="BM207" s="561">
        <f>BK207/BI207</f>
        <v>0.68181818181818177</v>
      </c>
      <c r="BN207" s="562">
        <f>BK207/BJ207</f>
        <v>1</v>
      </c>
      <c r="BO207" s="558">
        <v>39</v>
      </c>
      <c r="BP207" s="559">
        <v>33</v>
      </c>
      <c r="BQ207" s="559">
        <v>29</v>
      </c>
      <c r="BR207" s="559">
        <v>29</v>
      </c>
      <c r="BS207" s="560">
        <v>29</v>
      </c>
      <c r="BT207" s="561">
        <f>BR207/BP207</f>
        <v>0.87878787878787878</v>
      </c>
      <c r="BU207" s="562">
        <f>BR207/BQ207</f>
        <v>1</v>
      </c>
      <c r="BV207" s="558">
        <v>37</v>
      </c>
      <c r="BW207" s="559">
        <v>33</v>
      </c>
      <c r="BX207" s="559">
        <v>30</v>
      </c>
      <c r="BY207" s="559">
        <v>30</v>
      </c>
      <c r="BZ207" s="560">
        <v>30</v>
      </c>
      <c r="CA207" s="561">
        <f>BY207/BW207</f>
        <v>0.90909090909090906</v>
      </c>
      <c r="CB207" s="562">
        <f>BY207/BX207</f>
        <v>1</v>
      </c>
      <c r="CC207" s="558">
        <v>58</v>
      </c>
      <c r="CD207" s="559">
        <v>54</v>
      </c>
      <c r="CE207" s="559">
        <v>46</v>
      </c>
      <c r="CF207" s="559">
        <v>46</v>
      </c>
      <c r="CG207" s="560">
        <v>43</v>
      </c>
      <c r="CH207" s="561">
        <f>CF207/CD207</f>
        <v>0.85185185185185186</v>
      </c>
      <c r="CI207" s="562">
        <f>CF207/CE207</f>
        <v>1</v>
      </c>
      <c r="CJ207" s="558">
        <v>49</v>
      </c>
      <c r="CK207" s="559">
        <v>46</v>
      </c>
      <c r="CL207" s="559">
        <v>36</v>
      </c>
      <c r="CM207" s="559">
        <v>36</v>
      </c>
      <c r="CN207" s="560">
        <v>36</v>
      </c>
      <c r="CO207" s="561">
        <f>CM207/CK207</f>
        <v>0.78260869565217395</v>
      </c>
      <c r="CP207" s="664">
        <f>CM207/CL207</f>
        <v>1</v>
      </c>
      <c r="CQ207" s="561">
        <v>0.78260869565217395</v>
      </c>
      <c r="CR207" s="562">
        <v>1</v>
      </c>
      <c r="CS207" s="558">
        <v>72</v>
      </c>
      <c r="CT207" s="559">
        <v>68</v>
      </c>
      <c r="CU207" s="559">
        <v>54</v>
      </c>
      <c r="CV207" s="559">
        <v>54</v>
      </c>
      <c r="CW207" s="560">
        <v>51</v>
      </c>
      <c r="CX207" s="561">
        <f>CV207/CT207</f>
        <v>0.79411764705882348</v>
      </c>
      <c r="CY207" s="664">
        <f>CV207/CU207</f>
        <v>1</v>
      </c>
      <c r="CZ207" s="561">
        <v>0.79411764705882348</v>
      </c>
      <c r="DA207" s="562">
        <v>1</v>
      </c>
      <c r="DB207" s="558">
        <v>84</v>
      </c>
      <c r="DC207" s="559">
        <v>83</v>
      </c>
      <c r="DD207" s="559">
        <v>69</v>
      </c>
      <c r="DE207" s="559">
        <v>69</v>
      </c>
      <c r="DF207" s="560">
        <v>68</v>
      </c>
      <c r="DG207" s="561">
        <f>DE207/DC207</f>
        <v>0.83132530120481929</v>
      </c>
      <c r="DH207" s="664">
        <f>DE207/DD207</f>
        <v>1</v>
      </c>
      <c r="DI207" s="561">
        <v>0.83132530120481929</v>
      </c>
      <c r="DJ207" s="562">
        <v>1</v>
      </c>
      <c r="DK207" s="558">
        <v>62</v>
      </c>
      <c r="DL207" s="559">
        <v>62</v>
      </c>
      <c r="DM207" s="559">
        <v>51</v>
      </c>
      <c r="DN207" s="559">
        <v>51</v>
      </c>
      <c r="DO207" s="560">
        <v>50</v>
      </c>
      <c r="DP207" s="561">
        <f>DN207/DL207</f>
        <v>0.82258064516129037</v>
      </c>
      <c r="DQ207" s="664">
        <f>DN207/DM207</f>
        <v>1</v>
      </c>
      <c r="DR207" s="561">
        <v>0.82258064516129037</v>
      </c>
      <c r="DS207" s="562">
        <v>1</v>
      </c>
      <c r="DT207" s="558">
        <v>156</v>
      </c>
      <c r="DU207" s="559">
        <v>79</v>
      </c>
      <c r="DV207" s="559">
        <v>41</v>
      </c>
      <c r="DW207" s="559">
        <v>41</v>
      </c>
      <c r="DX207" s="560">
        <v>40</v>
      </c>
      <c r="DY207" s="561">
        <f>DW207/DU207</f>
        <v>0.51898734177215189</v>
      </c>
      <c r="DZ207" s="664">
        <f>DW207/DV207</f>
        <v>1</v>
      </c>
      <c r="EA207" s="561">
        <v>0.51898734177215189</v>
      </c>
      <c r="EB207" s="562">
        <v>1</v>
      </c>
    </row>
    <row r="208" spans="1:132" s="2" customFormat="1" ht="25.5" x14ac:dyDescent="0.25">
      <c r="A208" s="577" t="s">
        <v>486</v>
      </c>
      <c r="B208" s="489" t="s">
        <v>487</v>
      </c>
      <c r="C208" s="565" t="s">
        <v>199</v>
      </c>
      <c r="D208" s="558">
        <v>765</v>
      </c>
      <c r="E208" s="559">
        <v>752</v>
      </c>
      <c r="F208" s="559">
        <v>752</v>
      </c>
      <c r="G208" s="559">
        <v>547</v>
      </c>
      <c r="H208" s="560">
        <v>463</v>
      </c>
      <c r="I208" s="561">
        <f t="shared" si="374"/>
        <v>0.72739361702127658</v>
      </c>
      <c r="J208" s="562">
        <f t="shared" si="375"/>
        <v>0.72739361702127658</v>
      </c>
      <c r="K208" s="558">
        <v>739</v>
      </c>
      <c r="L208" s="559">
        <v>728</v>
      </c>
      <c r="M208" s="559">
        <v>728</v>
      </c>
      <c r="N208" s="559">
        <v>541</v>
      </c>
      <c r="O208" s="560">
        <v>447</v>
      </c>
      <c r="P208" s="561">
        <f>N208/L208</f>
        <v>0.74313186813186816</v>
      </c>
      <c r="Q208" s="562">
        <f>N208/M208</f>
        <v>0.74313186813186816</v>
      </c>
      <c r="R208" s="558">
        <v>1134</v>
      </c>
      <c r="S208" s="559">
        <v>1118</v>
      </c>
      <c r="T208" s="559">
        <v>911</v>
      </c>
      <c r="U208" s="559">
        <v>910</v>
      </c>
      <c r="V208" s="560">
        <v>830</v>
      </c>
      <c r="W208" s="561">
        <f t="shared" si="372"/>
        <v>0.81395348837209303</v>
      </c>
      <c r="X208" s="562">
        <f t="shared" si="373"/>
        <v>0.99890230515916578</v>
      </c>
      <c r="Y208" s="558">
        <v>677</v>
      </c>
      <c r="Z208" s="559">
        <v>666</v>
      </c>
      <c r="AA208" s="559">
        <v>666</v>
      </c>
      <c r="AB208" s="559">
        <v>465</v>
      </c>
      <c r="AC208" s="560">
        <v>384</v>
      </c>
      <c r="AD208" s="561">
        <f>AB208/Z208</f>
        <v>0.69819819819819817</v>
      </c>
      <c r="AE208" s="562">
        <f>AB208/AA208</f>
        <v>0.69819819819819817</v>
      </c>
      <c r="AF208" s="558">
        <v>585</v>
      </c>
      <c r="AG208" s="559">
        <v>569</v>
      </c>
      <c r="AH208" s="559">
        <v>390</v>
      </c>
      <c r="AI208" s="559">
        <v>390</v>
      </c>
      <c r="AJ208" s="560">
        <v>319</v>
      </c>
      <c r="AK208" s="561">
        <f>AI208/AG208</f>
        <v>0.68541300527240778</v>
      </c>
      <c r="AL208" s="562">
        <f>AI208/AH208</f>
        <v>1</v>
      </c>
      <c r="AM208" s="558">
        <v>400</v>
      </c>
      <c r="AN208" s="559">
        <v>391</v>
      </c>
      <c r="AO208" s="559">
        <v>277</v>
      </c>
      <c r="AP208" s="559">
        <v>277</v>
      </c>
      <c r="AQ208" s="560">
        <v>225</v>
      </c>
      <c r="AR208" s="561">
        <f>AP208/AN208</f>
        <v>0.7084398976982097</v>
      </c>
      <c r="AS208" s="562">
        <f>AP208/AO208</f>
        <v>1</v>
      </c>
      <c r="AT208" s="558">
        <v>266</v>
      </c>
      <c r="AU208" s="559">
        <v>265</v>
      </c>
      <c r="AV208" s="559">
        <v>265</v>
      </c>
      <c r="AW208" s="559">
        <v>211</v>
      </c>
      <c r="AX208" s="560">
        <v>42</v>
      </c>
      <c r="AY208" s="561">
        <f>AW208/AU208</f>
        <v>0.79622641509433967</v>
      </c>
      <c r="AZ208" s="562">
        <f>AW208/AV208</f>
        <v>0.79622641509433967</v>
      </c>
      <c r="BA208" s="558" t="s">
        <v>67</v>
      </c>
      <c r="BB208" s="559" t="s">
        <v>67</v>
      </c>
      <c r="BC208" s="559" t="s">
        <v>67</v>
      </c>
      <c r="BD208" s="559" t="s">
        <v>67</v>
      </c>
      <c r="BE208" s="560" t="s">
        <v>67</v>
      </c>
      <c r="BF208" s="561" t="s">
        <v>67</v>
      </c>
      <c r="BG208" s="562" t="s">
        <v>67</v>
      </c>
      <c r="BH208" s="558"/>
      <c r="BI208" s="559"/>
      <c r="BJ208" s="559"/>
      <c r="BK208" s="559"/>
      <c r="BL208" s="560"/>
      <c r="BM208" s="561" t="s">
        <v>67</v>
      </c>
      <c r="BN208" s="562" t="s">
        <v>67</v>
      </c>
      <c r="BO208" s="558" t="s">
        <v>67</v>
      </c>
      <c r="BP208" s="559" t="s">
        <v>67</v>
      </c>
      <c r="BQ208" s="559" t="s">
        <v>67</v>
      </c>
      <c r="BR208" s="559" t="s">
        <v>67</v>
      </c>
      <c r="BS208" s="560" t="s">
        <v>67</v>
      </c>
      <c r="BT208" s="561" t="s">
        <v>67</v>
      </c>
      <c r="BU208" s="562" t="s">
        <v>67</v>
      </c>
      <c r="BV208" s="558" t="s">
        <v>67</v>
      </c>
      <c r="BW208" s="559" t="s">
        <v>67</v>
      </c>
      <c r="BX208" s="559" t="s">
        <v>67</v>
      </c>
      <c r="BY208" s="559" t="s">
        <v>67</v>
      </c>
      <c r="BZ208" s="560" t="s">
        <v>67</v>
      </c>
      <c r="CA208" s="561" t="s">
        <v>67</v>
      </c>
      <c r="CB208" s="562" t="s">
        <v>67</v>
      </c>
      <c r="CC208" s="558" t="s">
        <v>67</v>
      </c>
      <c r="CD208" s="559" t="s">
        <v>67</v>
      </c>
      <c r="CE208" s="559" t="s">
        <v>67</v>
      </c>
      <c r="CF208" s="559" t="s">
        <v>67</v>
      </c>
      <c r="CG208" s="560" t="s">
        <v>67</v>
      </c>
      <c r="CH208" s="561" t="s">
        <v>67</v>
      </c>
      <c r="CI208" s="562" t="s">
        <v>67</v>
      </c>
      <c r="CJ208" s="558" t="s">
        <v>67</v>
      </c>
      <c r="CK208" s="559" t="s">
        <v>67</v>
      </c>
      <c r="CL208" s="559" t="s">
        <v>67</v>
      </c>
      <c r="CM208" s="559" t="s">
        <v>67</v>
      </c>
      <c r="CN208" s="560" t="s">
        <v>67</v>
      </c>
      <c r="CO208" s="561" t="s">
        <v>67</v>
      </c>
      <c r="CP208" s="664" t="s">
        <v>67</v>
      </c>
      <c r="CQ208" s="561" t="s">
        <v>67</v>
      </c>
      <c r="CR208" s="562" t="s">
        <v>67</v>
      </c>
      <c r="CS208" s="558" t="s">
        <v>67</v>
      </c>
      <c r="CT208" s="559" t="s">
        <v>67</v>
      </c>
      <c r="CU208" s="559" t="s">
        <v>67</v>
      </c>
      <c r="CV208" s="559" t="s">
        <v>67</v>
      </c>
      <c r="CW208" s="560" t="s">
        <v>67</v>
      </c>
      <c r="CX208" s="561" t="s">
        <v>67</v>
      </c>
      <c r="CY208" s="664" t="s">
        <v>67</v>
      </c>
      <c r="CZ208" s="561" t="s">
        <v>67</v>
      </c>
      <c r="DA208" s="562" t="s">
        <v>67</v>
      </c>
      <c r="DB208" s="558" t="s">
        <v>67</v>
      </c>
      <c r="DC208" s="559" t="s">
        <v>67</v>
      </c>
      <c r="DD208" s="559" t="s">
        <v>67</v>
      </c>
      <c r="DE208" s="559" t="s">
        <v>67</v>
      </c>
      <c r="DF208" s="560" t="s">
        <v>67</v>
      </c>
      <c r="DG208" s="561" t="s">
        <v>67</v>
      </c>
      <c r="DH208" s="664" t="s">
        <v>67</v>
      </c>
      <c r="DI208" s="561" t="s">
        <v>67</v>
      </c>
      <c r="DJ208" s="562" t="s">
        <v>67</v>
      </c>
      <c r="DK208" s="558" t="s">
        <v>67</v>
      </c>
      <c r="DL208" s="559" t="s">
        <v>67</v>
      </c>
      <c r="DM208" s="559" t="s">
        <v>67</v>
      </c>
      <c r="DN208" s="559" t="s">
        <v>67</v>
      </c>
      <c r="DO208" s="560" t="s">
        <v>67</v>
      </c>
      <c r="DP208" s="561" t="s">
        <v>67</v>
      </c>
      <c r="DQ208" s="664" t="s">
        <v>67</v>
      </c>
      <c r="DR208" s="561" t="s">
        <v>67</v>
      </c>
      <c r="DS208" s="562" t="s">
        <v>67</v>
      </c>
      <c r="DT208" s="558" t="s">
        <v>67</v>
      </c>
      <c r="DU208" s="559" t="s">
        <v>67</v>
      </c>
      <c r="DV208" s="559" t="s">
        <v>67</v>
      </c>
      <c r="DW208" s="559" t="s">
        <v>67</v>
      </c>
      <c r="DX208" s="560" t="s">
        <v>67</v>
      </c>
      <c r="DY208" s="561" t="s">
        <v>67</v>
      </c>
      <c r="DZ208" s="664" t="s">
        <v>67</v>
      </c>
      <c r="EA208" s="561" t="s">
        <v>67</v>
      </c>
      <c r="EB208" s="562" t="s">
        <v>67</v>
      </c>
    </row>
    <row r="209" spans="1:132" s="2" customFormat="1" x14ac:dyDescent="0.25">
      <c r="A209" s="577" t="s">
        <v>567</v>
      </c>
      <c r="B209" s="489" t="s">
        <v>488</v>
      </c>
      <c r="C209" s="565" t="s">
        <v>199</v>
      </c>
      <c r="D209" s="558">
        <v>266</v>
      </c>
      <c r="E209" s="559">
        <v>260</v>
      </c>
      <c r="F209" s="559">
        <v>176</v>
      </c>
      <c r="G209" s="559">
        <v>176</v>
      </c>
      <c r="H209" s="560">
        <v>150</v>
      </c>
      <c r="I209" s="561">
        <f t="shared" si="374"/>
        <v>0.67692307692307696</v>
      </c>
      <c r="J209" s="562">
        <f t="shared" si="375"/>
        <v>1</v>
      </c>
      <c r="K209" s="558">
        <v>230</v>
      </c>
      <c r="L209" s="559">
        <v>225</v>
      </c>
      <c r="M209" s="559">
        <v>117</v>
      </c>
      <c r="N209" s="559">
        <v>117</v>
      </c>
      <c r="O209" s="560">
        <v>86</v>
      </c>
      <c r="P209" s="561">
        <f>N209/L209</f>
        <v>0.52</v>
      </c>
      <c r="Q209" s="562">
        <f>N209/M209</f>
        <v>1</v>
      </c>
      <c r="R209" s="558">
        <v>71</v>
      </c>
      <c r="S209" s="559">
        <v>69</v>
      </c>
      <c r="T209" s="559">
        <v>34</v>
      </c>
      <c r="U209" s="559">
        <v>34</v>
      </c>
      <c r="V209" s="560">
        <v>3</v>
      </c>
      <c r="W209" s="561">
        <f t="shared" si="372"/>
        <v>0.49275362318840582</v>
      </c>
      <c r="X209" s="562">
        <f t="shared" si="373"/>
        <v>1</v>
      </c>
      <c r="Y209" s="558">
        <v>145</v>
      </c>
      <c r="Z209" s="559">
        <v>144</v>
      </c>
      <c r="AA209" s="559">
        <v>81</v>
      </c>
      <c r="AB209" s="559">
        <v>81</v>
      </c>
      <c r="AC209" s="560">
        <v>66</v>
      </c>
      <c r="AD209" s="561">
        <f>AB209/Z209</f>
        <v>0.5625</v>
      </c>
      <c r="AE209" s="562">
        <f>AB209/AA209</f>
        <v>1</v>
      </c>
      <c r="AF209" s="558">
        <v>150</v>
      </c>
      <c r="AG209" s="559">
        <v>145</v>
      </c>
      <c r="AH209" s="559">
        <v>88</v>
      </c>
      <c r="AI209" s="559">
        <v>88</v>
      </c>
      <c r="AJ209" s="560">
        <v>69</v>
      </c>
      <c r="AK209" s="561">
        <f>AI209/AG209</f>
        <v>0.60689655172413792</v>
      </c>
      <c r="AL209" s="562">
        <f>AI209/AH209</f>
        <v>1</v>
      </c>
      <c r="AM209" s="558">
        <v>130</v>
      </c>
      <c r="AN209" s="559">
        <v>128</v>
      </c>
      <c r="AO209" s="559">
        <v>65</v>
      </c>
      <c r="AP209" s="559">
        <v>65</v>
      </c>
      <c r="AQ209" s="560">
        <v>50</v>
      </c>
      <c r="AR209" s="561">
        <f>AP209/AN209</f>
        <v>0.5078125</v>
      </c>
      <c r="AS209" s="562">
        <f>AP209/AO209</f>
        <v>1</v>
      </c>
      <c r="AT209" s="558">
        <v>110</v>
      </c>
      <c r="AU209" s="559">
        <v>106</v>
      </c>
      <c r="AV209" s="559">
        <v>47</v>
      </c>
      <c r="AW209" s="559">
        <v>47</v>
      </c>
      <c r="AX209" s="560">
        <v>39</v>
      </c>
      <c r="AY209" s="561">
        <f>AW209/AU209</f>
        <v>0.44339622641509435</v>
      </c>
      <c r="AZ209" s="562">
        <f>AW209/AV209</f>
        <v>1</v>
      </c>
      <c r="BA209" s="558">
        <v>105</v>
      </c>
      <c r="BB209" s="559">
        <v>103</v>
      </c>
      <c r="BC209" s="559">
        <v>40</v>
      </c>
      <c r="BD209" s="559">
        <v>40</v>
      </c>
      <c r="BE209" s="560">
        <v>33</v>
      </c>
      <c r="BF209" s="561">
        <f>BD209/BB209</f>
        <v>0.38834951456310679</v>
      </c>
      <c r="BG209" s="562">
        <f>BD209/BC209</f>
        <v>1</v>
      </c>
      <c r="BH209" s="558">
        <v>138</v>
      </c>
      <c r="BI209" s="559">
        <v>137</v>
      </c>
      <c r="BJ209" s="559">
        <v>78</v>
      </c>
      <c r="BK209" s="559">
        <v>76</v>
      </c>
      <c r="BL209" s="560">
        <v>61</v>
      </c>
      <c r="BM209" s="561">
        <f>BK209/BI209</f>
        <v>0.55474452554744524</v>
      </c>
      <c r="BN209" s="562">
        <f>BK209/BJ209</f>
        <v>0.97435897435897434</v>
      </c>
      <c r="BO209" s="558">
        <v>124</v>
      </c>
      <c r="BP209" s="559">
        <v>122</v>
      </c>
      <c r="BQ209" s="559">
        <v>59</v>
      </c>
      <c r="BR209" s="559">
        <v>59</v>
      </c>
      <c r="BS209" s="560">
        <v>47</v>
      </c>
      <c r="BT209" s="561">
        <f>BR209/BP209</f>
        <v>0.48360655737704916</v>
      </c>
      <c r="BU209" s="562">
        <f>BR209/BQ209</f>
        <v>1</v>
      </c>
      <c r="BV209" s="558">
        <v>105</v>
      </c>
      <c r="BW209" s="559">
        <v>104</v>
      </c>
      <c r="BX209" s="559">
        <v>40</v>
      </c>
      <c r="BY209" s="559">
        <v>40</v>
      </c>
      <c r="BZ209" s="560">
        <v>37</v>
      </c>
      <c r="CA209" s="561">
        <f>BY209/BW209</f>
        <v>0.38461538461538464</v>
      </c>
      <c r="CB209" s="562">
        <f>BY209/BX209</f>
        <v>1</v>
      </c>
      <c r="CC209" s="558">
        <v>86</v>
      </c>
      <c r="CD209" s="559">
        <v>86</v>
      </c>
      <c r="CE209" s="559">
        <v>69</v>
      </c>
      <c r="CF209" s="559">
        <v>69</v>
      </c>
      <c r="CG209" s="560">
        <v>65</v>
      </c>
      <c r="CH209" s="561">
        <f>CF209/CD209</f>
        <v>0.80232558139534882</v>
      </c>
      <c r="CI209" s="562">
        <f>CF209/CE209</f>
        <v>1</v>
      </c>
      <c r="CJ209" s="558">
        <v>247</v>
      </c>
      <c r="CK209" s="559">
        <v>245</v>
      </c>
      <c r="CL209" s="559">
        <v>150</v>
      </c>
      <c r="CM209" s="559">
        <v>150</v>
      </c>
      <c r="CN209" s="560">
        <v>88</v>
      </c>
      <c r="CO209" s="561">
        <f>CM209/CK209</f>
        <v>0.61224489795918369</v>
      </c>
      <c r="CP209" s="664">
        <f>CM209/CL209</f>
        <v>1</v>
      </c>
      <c r="CQ209" s="561">
        <v>0.61224489795918369</v>
      </c>
      <c r="CR209" s="562">
        <v>1</v>
      </c>
      <c r="CS209" s="558">
        <v>125</v>
      </c>
      <c r="CT209" s="559">
        <v>122</v>
      </c>
      <c r="CU209" s="559">
        <v>122</v>
      </c>
      <c r="CV209" s="559">
        <v>122</v>
      </c>
      <c r="CW209" s="560">
        <v>122</v>
      </c>
      <c r="CX209" s="561">
        <f>CV209/CT209</f>
        <v>1</v>
      </c>
      <c r="CY209" s="664">
        <f>CV209/CU209</f>
        <v>1</v>
      </c>
      <c r="CZ209" s="561">
        <v>1</v>
      </c>
      <c r="DA209" s="562">
        <v>1</v>
      </c>
      <c r="DB209" s="558" t="s">
        <v>67</v>
      </c>
      <c r="DC209" s="559" t="s">
        <v>67</v>
      </c>
      <c r="DD209" s="559" t="s">
        <v>67</v>
      </c>
      <c r="DE209" s="559" t="s">
        <v>67</v>
      </c>
      <c r="DF209" s="560" t="s">
        <v>67</v>
      </c>
      <c r="DG209" s="561" t="s">
        <v>67</v>
      </c>
      <c r="DH209" s="664" t="s">
        <v>67</v>
      </c>
      <c r="DI209" s="561" t="s">
        <v>67</v>
      </c>
      <c r="DJ209" s="562" t="s">
        <v>67</v>
      </c>
      <c r="DK209" s="558" t="s">
        <v>67</v>
      </c>
      <c r="DL209" s="559" t="s">
        <v>67</v>
      </c>
      <c r="DM209" s="559" t="s">
        <v>67</v>
      </c>
      <c r="DN209" s="559" t="s">
        <v>67</v>
      </c>
      <c r="DO209" s="560" t="s">
        <v>67</v>
      </c>
      <c r="DP209" s="561" t="s">
        <v>67</v>
      </c>
      <c r="DQ209" s="664" t="s">
        <v>67</v>
      </c>
      <c r="DR209" s="561" t="s">
        <v>67</v>
      </c>
      <c r="DS209" s="562" t="s">
        <v>67</v>
      </c>
      <c r="DT209" s="558" t="s">
        <v>67</v>
      </c>
      <c r="DU209" s="559" t="s">
        <v>67</v>
      </c>
      <c r="DV209" s="559" t="s">
        <v>67</v>
      </c>
      <c r="DW209" s="559" t="s">
        <v>67</v>
      </c>
      <c r="DX209" s="560" t="s">
        <v>67</v>
      </c>
      <c r="DY209" s="561" t="s">
        <v>67</v>
      </c>
      <c r="DZ209" s="664" t="s">
        <v>67</v>
      </c>
      <c r="EA209" s="561" t="s">
        <v>67</v>
      </c>
      <c r="EB209" s="562" t="s">
        <v>67</v>
      </c>
    </row>
    <row r="210" spans="1:132" s="2" customFormat="1" ht="38.25" x14ac:dyDescent="0.25">
      <c r="A210" s="577" t="s">
        <v>489</v>
      </c>
      <c r="B210" s="489" t="s">
        <v>490</v>
      </c>
      <c r="C210" s="565" t="s">
        <v>199</v>
      </c>
      <c r="D210" s="558" t="s">
        <v>21</v>
      </c>
      <c r="E210" s="559" t="s">
        <v>21</v>
      </c>
      <c r="F210" s="559" t="s">
        <v>21</v>
      </c>
      <c r="G210" s="559" t="s">
        <v>21</v>
      </c>
      <c r="H210" s="560" t="s">
        <v>21</v>
      </c>
      <c r="I210" s="561" t="s">
        <v>67</v>
      </c>
      <c r="J210" s="562" t="s">
        <v>67</v>
      </c>
      <c r="K210" s="558" t="s">
        <v>67</v>
      </c>
      <c r="L210" s="559" t="s">
        <v>67</v>
      </c>
      <c r="M210" s="559" t="s">
        <v>67</v>
      </c>
      <c r="N210" s="559" t="s">
        <v>67</v>
      </c>
      <c r="O210" s="560" t="s">
        <v>67</v>
      </c>
      <c r="P210" s="561" t="s">
        <v>67</v>
      </c>
      <c r="Q210" s="562" t="s">
        <v>67</v>
      </c>
      <c r="R210" s="558" t="s">
        <v>67</v>
      </c>
      <c r="S210" s="559" t="s">
        <v>67</v>
      </c>
      <c r="T210" s="559" t="s">
        <v>67</v>
      </c>
      <c r="U210" s="559" t="s">
        <v>67</v>
      </c>
      <c r="V210" s="560" t="s">
        <v>67</v>
      </c>
      <c r="W210" s="561" t="s">
        <v>67</v>
      </c>
      <c r="X210" s="562" t="s">
        <v>67</v>
      </c>
      <c r="Y210" s="558" t="s">
        <v>67</v>
      </c>
      <c r="Z210" s="559" t="s">
        <v>67</v>
      </c>
      <c r="AA210" s="559" t="s">
        <v>67</v>
      </c>
      <c r="AB210" s="559" t="s">
        <v>67</v>
      </c>
      <c r="AC210" s="560" t="s">
        <v>67</v>
      </c>
      <c r="AD210" s="561" t="s">
        <v>67</v>
      </c>
      <c r="AE210" s="562" t="s">
        <v>67</v>
      </c>
      <c r="AF210" s="558" t="s">
        <v>67</v>
      </c>
      <c r="AG210" s="559" t="s">
        <v>67</v>
      </c>
      <c r="AH210" s="559" t="s">
        <v>67</v>
      </c>
      <c r="AI210" s="559" t="s">
        <v>67</v>
      </c>
      <c r="AJ210" s="560" t="s">
        <v>67</v>
      </c>
      <c r="AK210" s="561" t="s">
        <v>67</v>
      </c>
      <c r="AL210" s="562" t="s">
        <v>67</v>
      </c>
      <c r="AM210" s="558" t="s">
        <v>67</v>
      </c>
      <c r="AN210" s="559" t="s">
        <v>67</v>
      </c>
      <c r="AO210" s="559" t="s">
        <v>67</v>
      </c>
      <c r="AP210" s="559" t="s">
        <v>67</v>
      </c>
      <c r="AQ210" s="560" t="s">
        <v>67</v>
      </c>
      <c r="AR210" s="561" t="s">
        <v>67</v>
      </c>
      <c r="AS210" s="562" t="s">
        <v>67</v>
      </c>
      <c r="AT210" s="558" t="s">
        <v>67</v>
      </c>
      <c r="AU210" s="559" t="s">
        <v>67</v>
      </c>
      <c r="AV210" s="559" t="s">
        <v>67</v>
      </c>
      <c r="AW210" s="559" t="s">
        <v>67</v>
      </c>
      <c r="AX210" s="560" t="s">
        <v>67</v>
      </c>
      <c r="AY210" s="561" t="s">
        <v>67</v>
      </c>
      <c r="AZ210" s="562" t="s">
        <v>67</v>
      </c>
      <c r="BA210" s="558" t="s">
        <v>67</v>
      </c>
      <c r="BB210" s="559" t="s">
        <v>67</v>
      </c>
      <c r="BC210" s="559" t="s">
        <v>67</v>
      </c>
      <c r="BD210" s="559" t="s">
        <v>67</v>
      </c>
      <c r="BE210" s="560" t="s">
        <v>67</v>
      </c>
      <c r="BF210" s="561" t="s">
        <v>67</v>
      </c>
      <c r="BG210" s="562" t="s">
        <v>67</v>
      </c>
      <c r="BH210" s="558" t="s">
        <v>67</v>
      </c>
      <c r="BI210" s="559" t="s">
        <v>67</v>
      </c>
      <c r="BJ210" s="559" t="s">
        <v>67</v>
      </c>
      <c r="BK210" s="559" t="s">
        <v>67</v>
      </c>
      <c r="BL210" s="560" t="s">
        <v>67</v>
      </c>
      <c r="BM210" s="561" t="s">
        <v>67</v>
      </c>
      <c r="BN210" s="562" t="s">
        <v>67</v>
      </c>
      <c r="BO210" s="558" t="s">
        <v>67</v>
      </c>
      <c r="BP210" s="559" t="s">
        <v>67</v>
      </c>
      <c r="BQ210" s="559" t="s">
        <v>67</v>
      </c>
      <c r="BR210" s="559" t="s">
        <v>67</v>
      </c>
      <c r="BS210" s="560" t="s">
        <v>67</v>
      </c>
      <c r="BT210" s="561" t="s">
        <v>67</v>
      </c>
      <c r="BU210" s="562" t="s">
        <v>67</v>
      </c>
      <c r="BV210" s="558" t="s">
        <v>67</v>
      </c>
      <c r="BW210" s="559" t="s">
        <v>67</v>
      </c>
      <c r="BX210" s="559" t="s">
        <v>67</v>
      </c>
      <c r="BY210" s="559" t="s">
        <v>67</v>
      </c>
      <c r="BZ210" s="560" t="s">
        <v>67</v>
      </c>
      <c r="CA210" s="561" t="s">
        <v>67</v>
      </c>
      <c r="CB210" s="562" t="s">
        <v>67</v>
      </c>
      <c r="CC210" s="558" t="s">
        <v>67</v>
      </c>
      <c r="CD210" s="559" t="s">
        <v>67</v>
      </c>
      <c r="CE210" s="559" t="s">
        <v>67</v>
      </c>
      <c r="CF210" s="559" t="s">
        <v>67</v>
      </c>
      <c r="CG210" s="560" t="s">
        <v>67</v>
      </c>
      <c r="CH210" s="561" t="s">
        <v>67</v>
      </c>
      <c r="CI210" s="562" t="s">
        <v>67</v>
      </c>
      <c r="CJ210" s="558" t="s">
        <v>67</v>
      </c>
      <c r="CK210" s="559" t="s">
        <v>67</v>
      </c>
      <c r="CL210" s="559" t="s">
        <v>67</v>
      </c>
      <c r="CM210" s="559" t="s">
        <v>67</v>
      </c>
      <c r="CN210" s="560" t="s">
        <v>67</v>
      </c>
      <c r="CO210" s="561" t="s">
        <v>67</v>
      </c>
      <c r="CP210" s="664" t="s">
        <v>67</v>
      </c>
      <c r="CQ210" s="561" t="s">
        <v>67</v>
      </c>
      <c r="CR210" s="562" t="s">
        <v>67</v>
      </c>
      <c r="CS210" s="558" t="s">
        <v>67</v>
      </c>
      <c r="CT210" s="559" t="s">
        <v>67</v>
      </c>
      <c r="CU210" s="559" t="s">
        <v>67</v>
      </c>
      <c r="CV210" s="559" t="s">
        <v>67</v>
      </c>
      <c r="CW210" s="560" t="s">
        <v>67</v>
      </c>
      <c r="CX210" s="561" t="s">
        <v>67</v>
      </c>
      <c r="CY210" s="664" t="s">
        <v>67</v>
      </c>
      <c r="CZ210" s="561" t="s">
        <v>67</v>
      </c>
      <c r="DA210" s="562" t="s">
        <v>67</v>
      </c>
      <c r="DB210" s="558" t="s">
        <v>67</v>
      </c>
      <c r="DC210" s="559" t="s">
        <v>67</v>
      </c>
      <c r="DD210" s="559" t="s">
        <v>67</v>
      </c>
      <c r="DE210" s="559" t="s">
        <v>67</v>
      </c>
      <c r="DF210" s="560" t="s">
        <v>67</v>
      </c>
      <c r="DG210" s="561" t="s">
        <v>67</v>
      </c>
      <c r="DH210" s="664" t="s">
        <v>67</v>
      </c>
      <c r="DI210" s="561" t="s">
        <v>67</v>
      </c>
      <c r="DJ210" s="562" t="s">
        <v>67</v>
      </c>
      <c r="DK210" s="558" t="s">
        <v>67</v>
      </c>
      <c r="DL210" s="559" t="s">
        <v>67</v>
      </c>
      <c r="DM210" s="559" t="s">
        <v>67</v>
      </c>
      <c r="DN210" s="559" t="s">
        <v>67</v>
      </c>
      <c r="DO210" s="560" t="s">
        <v>67</v>
      </c>
      <c r="DP210" s="561" t="s">
        <v>67</v>
      </c>
      <c r="DQ210" s="664" t="s">
        <v>67</v>
      </c>
      <c r="DR210" s="561" t="s">
        <v>67</v>
      </c>
      <c r="DS210" s="562" t="s">
        <v>67</v>
      </c>
      <c r="DT210" s="558" t="s">
        <v>67</v>
      </c>
      <c r="DU210" s="559" t="s">
        <v>67</v>
      </c>
      <c r="DV210" s="559" t="s">
        <v>67</v>
      </c>
      <c r="DW210" s="559" t="s">
        <v>67</v>
      </c>
      <c r="DX210" s="560" t="s">
        <v>67</v>
      </c>
      <c r="DY210" s="561" t="s">
        <v>67</v>
      </c>
      <c r="DZ210" s="664" t="s">
        <v>67</v>
      </c>
      <c r="EA210" s="561" t="s">
        <v>67</v>
      </c>
      <c r="EB210" s="562" t="s">
        <v>67</v>
      </c>
    </row>
    <row r="211" spans="1:132" s="2" customFormat="1" ht="25.5" x14ac:dyDescent="0.25">
      <c r="A211" s="577" t="s">
        <v>491</v>
      </c>
      <c r="B211" s="489" t="s">
        <v>492</v>
      </c>
      <c r="C211" s="565" t="s">
        <v>199</v>
      </c>
      <c r="D211" s="558">
        <v>407</v>
      </c>
      <c r="E211" s="559">
        <v>407</v>
      </c>
      <c r="F211" s="559">
        <v>407</v>
      </c>
      <c r="G211" s="559">
        <v>407</v>
      </c>
      <c r="H211" s="560">
        <v>335</v>
      </c>
      <c r="I211" s="561">
        <f t="shared" si="374"/>
        <v>1</v>
      </c>
      <c r="J211" s="562">
        <f t="shared" si="375"/>
        <v>1</v>
      </c>
      <c r="K211" s="558">
        <v>342</v>
      </c>
      <c r="L211" s="559">
        <v>342</v>
      </c>
      <c r="M211" s="559">
        <v>339</v>
      </c>
      <c r="N211" s="559">
        <v>314</v>
      </c>
      <c r="O211" s="560">
        <v>304</v>
      </c>
      <c r="P211" s="561">
        <f t="shared" ref="P211:P226" si="376">N211/L211</f>
        <v>0.91812865497076024</v>
      </c>
      <c r="Q211" s="562">
        <f t="shared" ref="Q211:Q226" si="377">N211/M211</f>
        <v>0.92625368731563418</v>
      </c>
      <c r="R211" s="558">
        <v>26</v>
      </c>
      <c r="S211" s="559">
        <v>26</v>
      </c>
      <c r="T211" s="559">
        <v>26</v>
      </c>
      <c r="U211" s="559">
        <v>4</v>
      </c>
      <c r="V211" s="560">
        <v>4</v>
      </c>
      <c r="W211" s="561">
        <f t="shared" si="372"/>
        <v>0.15384615384615385</v>
      </c>
      <c r="X211" s="562">
        <f t="shared" si="373"/>
        <v>0.15384615384615385</v>
      </c>
      <c r="Y211" s="558" t="s">
        <v>67</v>
      </c>
      <c r="Z211" s="559" t="s">
        <v>67</v>
      </c>
      <c r="AA211" s="559" t="s">
        <v>67</v>
      </c>
      <c r="AB211" s="559" t="s">
        <v>67</v>
      </c>
      <c r="AC211" s="560" t="s">
        <v>67</v>
      </c>
      <c r="AD211" s="561" t="s">
        <v>67</v>
      </c>
      <c r="AE211" s="562" t="s">
        <v>67</v>
      </c>
      <c r="AF211" s="558" t="s">
        <v>67</v>
      </c>
      <c r="AG211" s="559" t="s">
        <v>67</v>
      </c>
      <c r="AH211" s="559" t="s">
        <v>67</v>
      </c>
      <c r="AI211" s="559" t="s">
        <v>67</v>
      </c>
      <c r="AJ211" s="560" t="s">
        <v>67</v>
      </c>
      <c r="AK211" s="561" t="s">
        <v>67</v>
      </c>
      <c r="AL211" s="562" t="s">
        <v>67</v>
      </c>
      <c r="AM211" s="558" t="s">
        <v>67</v>
      </c>
      <c r="AN211" s="559" t="s">
        <v>67</v>
      </c>
      <c r="AO211" s="559" t="s">
        <v>67</v>
      </c>
      <c r="AP211" s="559" t="s">
        <v>67</v>
      </c>
      <c r="AQ211" s="560" t="s">
        <v>67</v>
      </c>
      <c r="AR211" s="561" t="s">
        <v>67</v>
      </c>
      <c r="AS211" s="562" t="s">
        <v>67</v>
      </c>
      <c r="AT211" s="558" t="s">
        <v>67</v>
      </c>
      <c r="AU211" s="559" t="s">
        <v>67</v>
      </c>
      <c r="AV211" s="559" t="s">
        <v>67</v>
      </c>
      <c r="AW211" s="559" t="s">
        <v>67</v>
      </c>
      <c r="AX211" s="560" t="s">
        <v>67</v>
      </c>
      <c r="AY211" s="561" t="s">
        <v>67</v>
      </c>
      <c r="AZ211" s="562" t="s">
        <v>67</v>
      </c>
      <c r="BA211" s="558" t="s">
        <v>67</v>
      </c>
      <c r="BB211" s="559" t="s">
        <v>67</v>
      </c>
      <c r="BC211" s="559" t="s">
        <v>67</v>
      </c>
      <c r="BD211" s="559" t="s">
        <v>67</v>
      </c>
      <c r="BE211" s="560" t="s">
        <v>67</v>
      </c>
      <c r="BF211" s="561" t="s">
        <v>67</v>
      </c>
      <c r="BG211" s="562" t="s">
        <v>67</v>
      </c>
      <c r="BH211" s="558" t="s">
        <v>67</v>
      </c>
      <c r="BI211" s="559" t="s">
        <v>67</v>
      </c>
      <c r="BJ211" s="559" t="s">
        <v>67</v>
      </c>
      <c r="BK211" s="559" t="s">
        <v>67</v>
      </c>
      <c r="BL211" s="560" t="s">
        <v>67</v>
      </c>
      <c r="BM211" s="561" t="s">
        <v>67</v>
      </c>
      <c r="BN211" s="562" t="s">
        <v>67</v>
      </c>
      <c r="BO211" s="558" t="s">
        <v>67</v>
      </c>
      <c r="BP211" s="559" t="s">
        <v>67</v>
      </c>
      <c r="BQ211" s="559" t="s">
        <v>67</v>
      </c>
      <c r="BR211" s="559" t="s">
        <v>67</v>
      </c>
      <c r="BS211" s="560" t="s">
        <v>67</v>
      </c>
      <c r="BT211" s="561" t="s">
        <v>67</v>
      </c>
      <c r="BU211" s="562" t="s">
        <v>67</v>
      </c>
      <c r="BV211" s="558" t="s">
        <v>67</v>
      </c>
      <c r="BW211" s="559" t="s">
        <v>67</v>
      </c>
      <c r="BX211" s="559" t="s">
        <v>67</v>
      </c>
      <c r="BY211" s="559" t="s">
        <v>67</v>
      </c>
      <c r="BZ211" s="560" t="s">
        <v>67</v>
      </c>
      <c r="CA211" s="561" t="s">
        <v>67</v>
      </c>
      <c r="CB211" s="562" t="s">
        <v>67</v>
      </c>
      <c r="CC211" s="558" t="s">
        <v>67</v>
      </c>
      <c r="CD211" s="559" t="s">
        <v>67</v>
      </c>
      <c r="CE211" s="559" t="s">
        <v>67</v>
      </c>
      <c r="CF211" s="559" t="s">
        <v>67</v>
      </c>
      <c r="CG211" s="560" t="s">
        <v>67</v>
      </c>
      <c r="CH211" s="561" t="s">
        <v>67</v>
      </c>
      <c r="CI211" s="562" t="s">
        <v>67</v>
      </c>
      <c r="CJ211" s="558" t="s">
        <v>67</v>
      </c>
      <c r="CK211" s="559" t="s">
        <v>67</v>
      </c>
      <c r="CL211" s="559" t="s">
        <v>67</v>
      </c>
      <c r="CM211" s="559" t="s">
        <v>67</v>
      </c>
      <c r="CN211" s="560" t="s">
        <v>67</v>
      </c>
      <c r="CO211" s="561" t="s">
        <v>67</v>
      </c>
      <c r="CP211" s="664" t="s">
        <v>67</v>
      </c>
      <c r="CQ211" s="561" t="s">
        <v>67</v>
      </c>
      <c r="CR211" s="562" t="s">
        <v>67</v>
      </c>
      <c r="CS211" s="558" t="s">
        <v>67</v>
      </c>
      <c r="CT211" s="559" t="s">
        <v>67</v>
      </c>
      <c r="CU211" s="559" t="s">
        <v>67</v>
      </c>
      <c r="CV211" s="559" t="s">
        <v>67</v>
      </c>
      <c r="CW211" s="560" t="s">
        <v>67</v>
      </c>
      <c r="CX211" s="561" t="s">
        <v>67</v>
      </c>
      <c r="CY211" s="664" t="s">
        <v>67</v>
      </c>
      <c r="CZ211" s="561" t="s">
        <v>67</v>
      </c>
      <c r="DA211" s="562" t="s">
        <v>67</v>
      </c>
      <c r="DB211" s="558" t="s">
        <v>67</v>
      </c>
      <c r="DC211" s="559" t="s">
        <v>67</v>
      </c>
      <c r="DD211" s="559" t="s">
        <v>67</v>
      </c>
      <c r="DE211" s="559" t="s">
        <v>67</v>
      </c>
      <c r="DF211" s="560" t="s">
        <v>67</v>
      </c>
      <c r="DG211" s="561" t="s">
        <v>67</v>
      </c>
      <c r="DH211" s="664" t="s">
        <v>67</v>
      </c>
      <c r="DI211" s="561" t="s">
        <v>67</v>
      </c>
      <c r="DJ211" s="562" t="s">
        <v>67</v>
      </c>
      <c r="DK211" s="558" t="s">
        <v>67</v>
      </c>
      <c r="DL211" s="559" t="s">
        <v>67</v>
      </c>
      <c r="DM211" s="559" t="s">
        <v>67</v>
      </c>
      <c r="DN211" s="559" t="s">
        <v>67</v>
      </c>
      <c r="DO211" s="560" t="s">
        <v>67</v>
      </c>
      <c r="DP211" s="561" t="s">
        <v>67</v>
      </c>
      <c r="DQ211" s="664" t="s">
        <v>67</v>
      </c>
      <c r="DR211" s="561" t="s">
        <v>67</v>
      </c>
      <c r="DS211" s="562" t="s">
        <v>67</v>
      </c>
      <c r="DT211" s="558" t="s">
        <v>67</v>
      </c>
      <c r="DU211" s="559" t="s">
        <v>67</v>
      </c>
      <c r="DV211" s="559" t="s">
        <v>67</v>
      </c>
      <c r="DW211" s="559" t="s">
        <v>67</v>
      </c>
      <c r="DX211" s="560" t="s">
        <v>67</v>
      </c>
      <c r="DY211" s="561" t="s">
        <v>67</v>
      </c>
      <c r="DZ211" s="664" t="s">
        <v>67</v>
      </c>
      <c r="EA211" s="561" t="s">
        <v>67</v>
      </c>
      <c r="EB211" s="562" t="s">
        <v>67</v>
      </c>
    </row>
    <row r="212" spans="1:132" s="2" customFormat="1" x14ac:dyDescent="0.25">
      <c r="A212" s="577" t="s">
        <v>568</v>
      </c>
      <c r="B212" s="489" t="s">
        <v>493</v>
      </c>
      <c r="C212" s="565" t="s">
        <v>199</v>
      </c>
      <c r="D212" s="535">
        <v>160</v>
      </c>
      <c r="E212" s="521">
        <v>157</v>
      </c>
      <c r="F212" s="521">
        <v>124</v>
      </c>
      <c r="G212" s="521">
        <v>118</v>
      </c>
      <c r="H212" s="522">
        <v>118</v>
      </c>
      <c r="I212" s="523">
        <f t="shared" si="374"/>
        <v>0.75159235668789814</v>
      </c>
      <c r="J212" s="524">
        <f t="shared" si="375"/>
        <v>0.95161290322580649</v>
      </c>
      <c r="K212" s="535">
        <v>136</v>
      </c>
      <c r="L212" s="521">
        <v>134</v>
      </c>
      <c r="M212" s="521">
        <v>106</v>
      </c>
      <c r="N212" s="521">
        <v>105</v>
      </c>
      <c r="O212" s="522">
        <v>105</v>
      </c>
      <c r="P212" s="523">
        <f t="shared" si="376"/>
        <v>0.78358208955223885</v>
      </c>
      <c r="Q212" s="524">
        <f t="shared" si="377"/>
        <v>0.99056603773584906</v>
      </c>
      <c r="R212" s="535">
        <v>117</v>
      </c>
      <c r="S212" s="521">
        <v>117</v>
      </c>
      <c r="T212" s="521">
        <v>98</v>
      </c>
      <c r="U212" s="521">
        <v>92</v>
      </c>
      <c r="V212" s="522">
        <v>92</v>
      </c>
      <c r="W212" s="523">
        <f t="shared" si="372"/>
        <v>0.78632478632478631</v>
      </c>
      <c r="X212" s="524">
        <f t="shared" si="373"/>
        <v>0.93877551020408168</v>
      </c>
      <c r="Y212" s="535">
        <v>79</v>
      </c>
      <c r="Z212" s="521">
        <v>79</v>
      </c>
      <c r="AA212" s="521">
        <v>66</v>
      </c>
      <c r="AB212" s="521">
        <v>61</v>
      </c>
      <c r="AC212" s="522">
        <v>61</v>
      </c>
      <c r="AD212" s="523">
        <f>AB212/Z212</f>
        <v>0.77215189873417722</v>
      </c>
      <c r="AE212" s="524">
        <f>AB212/AA212</f>
        <v>0.9242424242424242</v>
      </c>
      <c r="AF212" s="535">
        <v>97</v>
      </c>
      <c r="AG212" s="521">
        <v>97</v>
      </c>
      <c r="AH212" s="521">
        <v>66</v>
      </c>
      <c r="AI212" s="521">
        <v>66</v>
      </c>
      <c r="AJ212" s="522">
        <v>66</v>
      </c>
      <c r="AK212" s="523">
        <f>AI212/AG212</f>
        <v>0.68041237113402064</v>
      </c>
      <c r="AL212" s="524">
        <f>AI212/AH212</f>
        <v>1</v>
      </c>
      <c r="AM212" s="535">
        <v>73</v>
      </c>
      <c r="AN212" s="521">
        <v>73</v>
      </c>
      <c r="AO212" s="521">
        <v>59</v>
      </c>
      <c r="AP212" s="521">
        <v>59</v>
      </c>
      <c r="AQ212" s="522">
        <v>59</v>
      </c>
      <c r="AR212" s="523">
        <f>AP212/AN212</f>
        <v>0.80821917808219179</v>
      </c>
      <c r="AS212" s="524">
        <f>AP212/AO212</f>
        <v>1</v>
      </c>
      <c r="AT212" s="535">
        <v>74</v>
      </c>
      <c r="AU212" s="521">
        <v>74</v>
      </c>
      <c r="AV212" s="521">
        <v>57</v>
      </c>
      <c r="AW212" s="521">
        <v>57</v>
      </c>
      <c r="AX212" s="522">
        <v>57</v>
      </c>
      <c r="AY212" s="523">
        <f>AW212/AU212</f>
        <v>0.77027027027027029</v>
      </c>
      <c r="AZ212" s="524">
        <f>AW212/AV212</f>
        <v>1</v>
      </c>
      <c r="BA212" s="535">
        <v>172</v>
      </c>
      <c r="BB212" s="521">
        <v>172</v>
      </c>
      <c r="BC212" s="521">
        <v>154</v>
      </c>
      <c r="BD212" s="521">
        <v>154</v>
      </c>
      <c r="BE212" s="522">
        <v>152</v>
      </c>
      <c r="BF212" s="523">
        <f>BD212/BB212</f>
        <v>0.89534883720930236</v>
      </c>
      <c r="BG212" s="524">
        <f>BD212/BC212</f>
        <v>1</v>
      </c>
      <c r="BH212" s="535">
        <v>43</v>
      </c>
      <c r="BI212" s="521">
        <v>43</v>
      </c>
      <c r="BJ212" s="521">
        <v>30</v>
      </c>
      <c r="BK212" s="521">
        <v>29</v>
      </c>
      <c r="BL212" s="522">
        <v>28</v>
      </c>
      <c r="BM212" s="523">
        <f>BK212/BI212</f>
        <v>0.67441860465116277</v>
      </c>
      <c r="BN212" s="524">
        <f>BK212/BJ212</f>
        <v>0.96666666666666667</v>
      </c>
      <c r="BO212" s="535">
        <v>42</v>
      </c>
      <c r="BP212" s="521">
        <v>42</v>
      </c>
      <c r="BQ212" s="521">
        <v>34</v>
      </c>
      <c r="BR212" s="521">
        <v>33</v>
      </c>
      <c r="BS212" s="522">
        <v>33</v>
      </c>
      <c r="BT212" s="523">
        <f>BR212/BP212</f>
        <v>0.7857142857142857</v>
      </c>
      <c r="BU212" s="524">
        <f>BR212/BQ212</f>
        <v>0.97058823529411764</v>
      </c>
      <c r="BV212" s="535">
        <v>41</v>
      </c>
      <c r="BW212" s="521">
        <v>41</v>
      </c>
      <c r="BX212" s="521">
        <v>31</v>
      </c>
      <c r="BY212" s="521">
        <v>31</v>
      </c>
      <c r="BZ212" s="522">
        <v>31</v>
      </c>
      <c r="CA212" s="523">
        <f>BY212/BW212</f>
        <v>0.75609756097560976</v>
      </c>
      <c r="CB212" s="524">
        <f>BY212/BX212</f>
        <v>1</v>
      </c>
      <c r="CC212" s="558" t="s">
        <v>67</v>
      </c>
      <c r="CD212" s="559" t="s">
        <v>67</v>
      </c>
      <c r="CE212" s="559" t="s">
        <v>67</v>
      </c>
      <c r="CF212" s="559" t="s">
        <v>67</v>
      </c>
      <c r="CG212" s="560" t="s">
        <v>67</v>
      </c>
      <c r="CH212" s="561" t="s">
        <v>67</v>
      </c>
      <c r="CI212" s="562" t="s">
        <v>67</v>
      </c>
      <c r="CJ212" s="558" t="s">
        <v>67</v>
      </c>
      <c r="CK212" s="559" t="s">
        <v>67</v>
      </c>
      <c r="CL212" s="559" t="s">
        <v>67</v>
      </c>
      <c r="CM212" s="559" t="s">
        <v>67</v>
      </c>
      <c r="CN212" s="560" t="s">
        <v>67</v>
      </c>
      <c r="CO212" s="561" t="s">
        <v>67</v>
      </c>
      <c r="CP212" s="664" t="s">
        <v>67</v>
      </c>
      <c r="CQ212" s="561" t="s">
        <v>67</v>
      </c>
      <c r="CR212" s="562" t="s">
        <v>67</v>
      </c>
      <c r="CS212" s="558" t="s">
        <v>67</v>
      </c>
      <c r="CT212" s="559" t="s">
        <v>67</v>
      </c>
      <c r="CU212" s="559" t="s">
        <v>67</v>
      </c>
      <c r="CV212" s="559" t="s">
        <v>67</v>
      </c>
      <c r="CW212" s="560" t="s">
        <v>67</v>
      </c>
      <c r="CX212" s="561" t="s">
        <v>67</v>
      </c>
      <c r="CY212" s="664" t="s">
        <v>67</v>
      </c>
      <c r="CZ212" s="561" t="s">
        <v>67</v>
      </c>
      <c r="DA212" s="562" t="s">
        <v>67</v>
      </c>
      <c r="DB212" s="558" t="s">
        <v>67</v>
      </c>
      <c r="DC212" s="559" t="s">
        <v>67</v>
      </c>
      <c r="DD212" s="559" t="s">
        <v>67</v>
      </c>
      <c r="DE212" s="559" t="s">
        <v>67</v>
      </c>
      <c r="DF212" s="560" t="s">
        <v>67</v>
      </c>
      <c r="DG212" s="561" t="s">
        <v>67</v>
      </c>
      <c r="DH212" s="664" t="s">
        <v>67</v>
      </c>
      <c r="DI212" s="561" t="s">
        <v>67</v>
      </c>
      <c r="DJ212" s="562" t="s">
        <v>67</v>
      </c>
      <c r="DK212" s="558" t="s">
        <v>67</v>
      </c>
      <c r="DL212" s="559" t="s">
        <v>67</v>
      </c>
      <c r="DM212" s="559" t="s">
        <v>67</v>
      </c>
      <c r="DN212" s="559" t="s">
        <v>67</v>
      </c>
      <c r="DO212" s="560" t="s">
        <v>67</v>
      </c>
      <c r="DP212" s="561" t="s">
        <v>67</v>
      </c>
      <c r="DQ212" s="664" t="s">
        <v>67</v>
      </c>
      <c r="DR212" s="561" t="s">
        <v>67</v>
      </c>
      <c r="DS212" s="562" t="s">
        <v>67</v>
      </c>
      <c r="DT212" s="558" t="s">
        <v>67</v>
      </c>
      <c r="DU212" s="559" t="s">
        <v>67</v>
      </c>
      <c r="DV212" s="559" t="s">
        <v>67</v>
      </c>
      <c r="DW212" s="559" t="s">
        <v>67</v>
      </c>
      <c r="DX212" s="560" t="s">
        <v>67</v>
      </c>
      <c r="DY212" s="561" t="s">
        <v>67</v>
      </c>
      <c r="DZ212" s="664" t="s">
        <v>67</v>
      </c>
      <c r="EA212" s="561" t="s">
        <v>67</v>
      </c>
      <c r="EB212" s="562" t="s">
        <v>67</v>
      </c>
    </row>
    <row r="213" spans="1:132" s="2" customFormat="1" x14ac:dyDescent="0.25">
      <c r="A213" s="577" t="s">
        <v>569</v>
      </c>
      <c r="B213" s="489" t="s">
        <v>494</v>
      </c>
      <c r="C213" s="565" t="s">
        <v>199</v>
      </c>
      <c r="D213" s="558">
        <v>250</v>
      </c>
      <c r="E213" s="559">
        <v>250</v>
      </c>
      <c r="F213" s="559">
        <v>209</v>
      </c>
      <c r="G213" s="559">
        <v>209</v>
      </c>
      <c r="H213" s="560">
        <v>209</v>
      </c>
      <c r="I213" s="561">
        <f t="shared" si="374"/>
        <v>0.83599999999999997</v>
      </c>
      <c r="J213" s="562">
        <f t="shared" si="375"/>
        <v>1</v>
      </c>
      <c r="K213" s="558">
        <v>240</v>
      </c>
      <c r="L213" s="559">
        <v>239</v>
      </c>
      <c r="M213" s="559">
        <v>187</v>
      </c>
      <c r="N213" s="559">
        <v>187</v>
      </c>
      <c r="O213" s="560">
        <v>187</v>
      </c>
      <c r="P213" s="561">
        <f t="shared" si="376"/>
        <v>0.78242677824267781</v>
      </c>
      <c r="Q213" s="562">
        <f t="shared" si="377"/>
        <v>1</v>
      </c>
      <c r="R213" s="558">
        <v>249</v>
      </c>
      <c r="S213" s="559">
        <v>246</v>
      </c>
      <c r="T213" s="559">
        <v>199</v>
      </c>
      <c r="U213" s="559">
        <v>199</v>
      </c>
      <c r="V213" s="560">
        <v>199</v>
      </c>
      <c r="W213" s="561">
        <f t="shared" si="372"/>
        <v>0.80894308943089432</v>
      </c>
      <c r="X213" s="562">
        <f t="shared" si="373"/>
        <v>1</v>
      </c>
      <c r="Y213" s="558">
        <v>242</v>
      </c>
      <c r="Z213" s="559">
        <v>242</v>
      </c>
      <c r="AA213" s="559">
        <v>190</v>
      </c>
      <c r="AB213" s="559">
        <v>190</v>
      </c>
      <c r="AC213" s="560">
        <v>190</v>
      </c>
      <c r="AD213" s="561">
        <f>AB213/Z213</f>
        <v>0.78512396694214881</v>
      </c>
      <c r="AE213" s="562">
        <f>AB213/AA213</f>
        <v>1</v>
      </c>
      <c r="AF213" s="558">
        <v>225</v>
      </c>
      <c r="AG213" s="559">
        <v>224</v>
      </c>
      <c r="AH213" s="559">
        <v>164</v>
      </c>
      <c r="AI213" s="559">
        <v>164</v>
      </c>
      <c r="AJ213" s="560">
        <v>164</v>
      </c>
      <c r="AK213" s="561">
        <f>AI213/AG213</f>
        <v>0.7321428571428571</v>
      </c>
      <c r="AL213" s="562">
        <f>AI213/AH213</f>
        <v>1</v>
      </c>
      <c r="AM213" s="558">
        <v>253</v>
      </c>
      <c r="AN213" s="559">
        <v>253</v>
      </c>
      <c r="AO213" s="559">
        <v>193</v>
      </c>
      <c r="AP213" s="559">
        <v>193</v>
      </c>
      <c r="AQ213" s="560">
        <v>193</v>
      </c>
      <c r="AR213" s="561">
        <f>AP213/AN213</f>
        <v>0.76284584980237158</v>
      </c>
      <c r="AS213" s="562">
        <f>AP213/AO213</f>
        <v>1</v>
      </c>
      <c r="AT213" s="558">
        <v>230</v>
      </c>
      <c r="AU213" s="559">
        <v>230</v>
      </c>
      <c r="AV213" s="559">
        <v>196</v>
      </c>
      <c r="AW213" s="559">
        <v>184</v>
      </c>
      <c r="AX213" s="560">
        <v>178</v>
      </c>
      <c r="AY213" s="561">
        <f>AW213/AU213</f>
        <v>0.8</v>
      </c>
      <c r="AZ213" s="562">
        <f>AW213/AV213</f>
        <v>0.93877551020408168</v>
      </c>
      <c r="BA213" s="558">
        <v>232</v>
      </c>
      <c r="BB213" s="559">
        <v>231</v>
      </c>
      <c r="BC213" s="559">
        <v>160</v>
      </c>
      <c r="BD213" s="559">
        <v>160</v>
      </c>
      <c r="BE213" s="560">
        <v>160</v>
      </c>
      <c r="BF213" s="561">
        <f>BD213/BB213</f>
        <v>0.69264069264069261</v>
      </c>
      <c r="BG213" s="562">
        <f>BD213/BC213</f>
        <v>1</v>
      </c>
      <c r="BH213" s="558">
        <v>229</v>
      </c>
      <c r="BI213" s="559">
        <v>229</v>
      </c>
      <c r="BJ213" s="559">
        <v>165</v>
      </c>
      <c r="BK213" s="559">
        <v>165</v>
      </c>
      <c r="BL213" s="560">
        <v>165</v>
      </c>
      <c r="BM213" s="561">
        <f>BK213/BI213</f>
        <v>0.72052401746724892</v>
      </c>
      <c r="BN213" s="562">
        <f>BK213/BJ213</f>
        <v>1</v>
      </c>
      <c r="BO213" s="558">
        <v>256</v>
      </c>
      <c r="BP213" s="559">
        <v>256</v>
      </c>
      <c r="BQ213" s="559">
        <v>187</v>
      </c>
      <c r="BR213" s="559">
        <v>187</v>
      </c>
      <c r="BS213" s="560">
        <v>187</v>
      </c>
      <c r="BT213" s="561">
        <f>BR213/BP213</f>
        <v>0.73046875</v>
      </c>
      <c r="BU213" s="562">
        <f>BR213/BQ213</f>
        <v>1</v>
      </c>
      <c r="BV213" s="558">
        <v>255</v>
      </c>
      <c r="BW213" s="559">
        <v>255</v>
      </c>
      <c r="BX213" s="559">
        <v>182</v>
      </c>
      <c r="BY213" s="559">
        <v>182</v>
      </c>
      <c r="BZ213" s="560">
        <v>182</v>
      </c>
      <c r="CA213" s="561">
        <f>BY213/BW213</f>
        <v>0.71372549019607845</v>
      </c>
      <c r="CB213" s="562">
        <f>BY213/BX213</f>
        <v>1</v>
      </c>
      <c r="CC213" s="558">
        <v>164</v>
      </c>
      <c r="CD213" s="559">
        <v>163</v>
      </c>
      <c r="CE213" s="559">
        <v>132</v>
      </c>
      <c r="CF213" s="559">
        <v>132</v>
      </c>
      <c r="CG213" s="560">
        <v>132</v>
      </c>
      <c r="CH213" s="561">
        <f>CF213/CD213</f>
        <v>0.80981595092024539</v>
      </c>
      <c r="CI213" s="562">
        <f>CF213/CE213</f>
        <v>1</v>
      </c>
      <c r="CJ213" s="558">
        <v>227</v>
      </c>
      <c r="CK213" s="559">
        <v>227</v>
      </c>
      <c r="CL213" s="559">
        <v>153</v>
      </c>
      <c r="CM213" s="559">
        <v>153</v>
      </c>
      <c r="CN213" s="560">
        <v>153</v>
      </c>
      <c r="CO213" s="561">
        <f>CM213/CK213</f>
        <v>0.67400881057268724</v>
      </c>
      <c r="CP213" s="664">
        <f>CM213/CL213</f>
        <v>1</v>
      </c>
      <c r="CQ213" s="561">
        <v>0.67400881057268724</v>
      </c>
      <c r="CR213" s="562">
        <v>1</v>
      </c>
      <c r="CS213" s="558">
        <v>216</v>
      </c>
      <c r="CT213" s="559">
        <v>216</v>
      </c>
      <c r="CU213" s="559">
        <v>144</v>
      </c>
      <c r="CV213" s="559">
        <v>144</v>
      </c>
      <c r="CW213" s="560">
        <v>144</v>
      </c>
      <c r="CX213" s="561">
        <f>CV213/CT213</f>
        <v>0.66666666666666663</v>
      </c>
      <c r="CY213" s="664">
        <f>CV213/CU213</f>
        <v>1</v>
      </c>
      <c r="CZ213" s="561">
        <v>0.66666666666666663</v>
      </c>
      <c r="DA213" s="562">
        <v>1</v>
      </c>
      <c r="DB213" s="558">
        <v>241</v>
      </c>
      <c r="DC213" s="559">
        <v>241</v>
      </c>
      <c r="DD213" s="559">
        <v>174</v>
      </c>
      <c r="DE213" s="559">
        <v>174</v>
      </c>
      <c r="DF213" s="560">
        <v>174</v>
      </c>
      <c r="DG213" s="561">
        <f>DE213/DC213</f>
        <v>0.72199170124481327</v>
      </c>
      <c r="DH213" s="664">
        <f>DE213/DD213</f>
        <v>1</v>
      </c>
      <c r="DI213" s="561">
        <v>0.72199170124481327</v>
      </c>
      <c r="DJ213" s="562">
        <v>1</v>
      </c>
      <c r="DK213" s="558">
        <v>333</v>
      </c>
      <c r="DL213" s="559">
        <v>333</v>
      </c>
      <c r="DM213" s="559">
        <v>266</v>
      </c>
      <c r="DN213" s="559">
        <v>266</v>
      </c>
      <c r="DO213" s="560">
        <v>266</v>
      </c>
      <c r="DP213" s="561">
        <f>DN213/DL213</f>
        <v>0.79879879879879878</v>
      </c>
      <c r="DQ213" s="664">
        <f>DN213/DM213</f>
        <v>1</v>
      </c>
      <c r="DR213" s="561">
        <v>0.79879879879879878</v>
      </c>
      <c r="DS213" s="562">
        <v>1</v>
      </c>
      <c r="DT213" s="558">
        <v>327</v>
      </c>
      <c r="DU213" s="559">
        <v>327</v>
      </c>
      <c r="DV213" s="559">
        <v>244</v>
      </c>
      <c r="DW213" s="559">
        <v>244</v>
      </c>
      <c r="DX213" s="560">
        <v>244</v>
      </c>
      <c r="DY213" s="561">
        <f>DW213/DU213</f>
        <v>0.74617737003058104</v>
      </c>
      <c r="DZ213" s="664">
        <f>DW213/DV213</f>
        <v>1</v>
      </c>
      <c r="EA213" s="561">
        <v>0.74617737003058104</v>
      </c>
      <c r="EB213" s="562">
        <v>1</v>
      </c>
    </row>
    <row r="214" spans="1:132" s="2" customFormat="1" ht="25.5" x14ac:dyDescent="0.25">
      <c r="A214" s="577" t="s">
        <v>495</v>
      </c>
      <c r="B214" s="489" t="s">
        <v>496</v>
      </c>
      <c r="C214" s="565" t="s">
        <v>199</v>
      </c>
      <c r="D214" s="558">
        <v>178</v>
      </c>
      <c r="E214" s="559">
        <v>178</v>
      </c>
      <c r="F214" s="559">
        <v>153</v>
      </c>
      <c r="G214" s="559">
        <v>153</v>
      </c>
      <c r="H214" s="560">
        <v>148</v>
      </c>
      <c r="I214" s="561">
        <f t="shared" si="374"/>
        <v>0.8595505617977528</v>
      </c>
      <c r="J214" s="562">
        <f t="shared" si="375"/>
        <v>1</v>
      </c>
      <c r="K214" s="558">
        <v>289</v>
      </c>
      <c r="L214" s="559">
        <v>289</v>
      </c>
      <c r="M214" s="559">
        <v>187</v>
      </c>
      <c r="N214" s="559">
        <v>187</v>
      </c>
      <c r="O214" s="560">
        <v>162</v>
      </c>
      <c r="P214" s="561">
        <f t="shared" si="376"/>
        <v>0.6470588235294118</v>
      </c>
      <c r="Q214" s="562">
        <f t="shared" si="377"/>
        <v>1</v>
      </c>
      <c r="R214" s="558">
        <v>87</v>
      </c>
      <c r="S214" s="559">
        <v>87</v>
      </c>
      <c r="T214" s="559">
        <v>0</v>
      </c>
      <c r="U214" s="559">
        <v>0</v>
      </c>
      <c r="V214" s="560">
        <v>0</v>
      </c>
      <c r="W214" s="561">
        <f t="shared" si="372"/>
        <v>0</v>
      </c>
      <c r="X214" s="562" t="s">
        <v>67</v>
      </c>
      <c r="Y214" s="558" t="s">
        <v>67</v>
      </c>
      <c r="Z214" s="559" t="s">
        <v>67</v>
      </c>
      <c r="AA214" s="559" t="s">
        <v>67</v>
      </c>
      <c r="AB214" s="559" t="s">
        <v>67</v>
      </c>
      <c r="AC214" s="560" t="s">
        <v>67</v>
      </c>
      <c r="AD214" s="561" t="s">
        <v>67</v>
      </c>
      <c r="AE214" s="562" t="s">
        <v>67</v>
      </c>
      <c r="AF214" s="558" t="s">
        <v>67</v>
      </c>
      <c r="AG214" s="559" t="s">
        <v>67</v>
      </c>
      <c r="AH214" s="559" t="s">
        <v>67</v>
      </c>
      <c r="AI214" s="559" t="s">
        <v>67</v>
      </c>
      <c r="AJ214" s="560" t="s">
        <v>67</v>
      </c>
      <c r="AK214" s="561" t="s">
        <v>67</v>
      </c>
      <c r="AL214" s="562" t="s">
        <v>67</v>
      </c>
      <c r="AM214" s="558" t="s">
        <v>67</v>
      </c>
      <c r="AN214" s="559" t="s">
        <v>67</v>
      </c>
      <c r="AO214" s="559" t="s">
        <v>67</v>
      </c>
      <c r="AP214" s="559" t="s">
        <v>67</v>
      </c>
      <c r="AQ214" s="560" t="s">
        <v>67</v>
      </c>
      <c r="AR214" s="561" t="s">
        <v>67</v>
      </c>
      <c r="AS214" s="562" t="s">
        <v>67</v>
      </c>
      <c r="AT214" s="558" t="s">
        <v>67</v>
      </c>
      <c r="AU214" s="559" t="s">
        <v>67</v>
      </c>
      <c r="AV214" s="559" t="s">
        <v>67</v>
      </c>
      <c r="AW214" s="559" t="s">
        <v>67</v>
      </c>
      <c r="AX214" s="560" t="s">
        <v>67</v>
      </c>
      <c r="AY214" s="561" t="s">
        <v>67</v>
      </c>
      <c r="AZ214" s="562" t="s">
        <v>67</v>
      </c>
      <c r="BA214" s="558" t="s">
        <v>67</v>
      </c>
      <c r="BB214" s="559" t="s">
        <v>67</v>
      </c>
      <c r="BC214" s="559" t="s">
        <v>67</v>
      </c>
      <c r="BD214" s="559" t="s">
        <v>67</v>
      </c>
      <c r="BE214" s="560" t="s">
        <v>67</v>
      </c>
      <c r="BF214" s="561" t="s">
        <v>67</v>
      </c>
      <c r="BG214" s="562" t="s">
        <v>67</v>
      </c>
      <c r="BH214" s="558" t="s">
        <v>67</v>
      </c>
      <c r="BI214" s="559" t="s">
        <v>67</v>
      </c>
      <c r="BJ214" s="559" t="s">
        <v>67</v>
      </c>
      <c r="BK214" s="559" t="s">
        <v>67</v>
      </c>
      <c r="BL214" s="560" t="s">
        <v>67</v>
      </c>
      <c r="BM214" s="561" t="s">
        <v>67</v>
      </c>
      <c r="BN214" s="562" t="s">
        <v>67</v>
      </c>
      <c r="BO214" s="558" t="s">
        <v>67</v>
      </c>
      <c r="BP214" s="559" t="s">
        <v>67</v>
      </c>
      <c r="BQ214" s="559" t="s">
        <v>67</v>
      </c>
      <c r="BR214" s="559" t="s">
        <v>67</v>
      </c>
      <c r="BS214" s="560" t="s">
        <v>67</v>
      </c>
      <c r="BT214" s="561" t="s">
        <v>67</v>
      </c>
      <c r="BU214" s="562" t="s">
        <v>67</v>
      </c>
      <c r="BV214" s="558" t="s">
        <v>67</v>
      </c>
      <c r="BW214" s="559" t="s">
        <v>67</v>
      </c>
      <c r="BX214" s="559" t="s">
        <v>67</v>
      </c>
      <c r="BY214" s="559" t="s">
        <v>67</v>
      </c>
      <c r="BZ214" s="560" t="s">
        <v>67</v>
      </c>
      <c r="CA214" s="561" t="s">
        <v>67</v>
      </c>
      <c r="CB214" s="562" t="s">
        <v>67</v>
      </c>
      <c r="CC214" s="558" t="s">
        <v>67</v>
      </c>
      <c r="CD214" s="559" t="s">
        <v>67</v>
      </c>
      <c r="CE214" s="559" t="s">
        <v>67</v>
      </c>
      <c r="CF214" s="559" t="s">
        <v>67</v>
      </c>
      <c r="CG214" s="560" t="s">
        <v>67</v>
      </c>
      <c r="CH214" s="561" t="s">
        <v>67</v>
      </c>
      <c r="CI214" s="562" t="s">
        <v>67</v>
      </c>
      <c r="CJ214" s="558" t="s">
        <v>67</v>
      </c>
      <c r="CK214" s="559" t="s">
        <v>67</v>
      </c>
      <c r="CL214" s="559" t="s">
        <v>67</v>
      </c>
      <c r="CM214" s="559" t="s">
        <v>67</v>
      </c>
      <c r="CN214" s="560" t="s">
        <v>67</v>
      </c>
      <c r="CO214" s="561" t="s">
        <v>67</v>
      </c>
      <c r="CP214" s="664" t="s">
        <v>67</v>
      </c>
      <c r="CQ214" s="561" t="s">
        <v>67</v>
      </c>
      <c r="CR214" s="562" t="s">
        <v>67</v>
      </c>
      <c r="CS214" s="558" t="s">
        <v>67</v>
      </c>
      <c r="CT214" s="559" t="s">
        <v>67</v>
      </c>
      <c r="CU214" s="559" t="s">
        <v>67</v>
      </c>
      <c r="CV214" s="559" t="s">
        <v>67</v>
      </c>
      <c r="CW214" s="560" t="s">
        <v>67</v>
      </c>
      <c r="CX214" s="561" t="s">
        <v>67</v>
      </c>
      <c r="CY214" s="664" t="s">
        <v>67</v>
      </c>
      <c r="CZ214" s="561" t="s">
        <v>67</v>
      </c>
      <c r="DA214" s="562" t="s">
        <v>67</v>
      </c>
      <c r="DB214" s="558" t="s">
        <v>67</v>
      </c>
      <c r="DC214" s="559" t="s">
        <v>67</v>
      </c>
      <c r="DD214" s="559" t="s">
        <v>67</v>
      </c>
      <c r="DE214" s="559" t="s">
        <v>67</v>
      </c>
      <c r="DF214" s="560" t="s">
        <v>67</v>
      </c>
      <c r="DG214" s="561" t="s">
        <v>67</v>
      </c>
      <c r="DH214" s="664" t="s">
        <v>67</v>
      </c>
      <c r="DI214" s="561" t="s">
        <v>67</v>
      </c>
      <c r="DJ214" s="562" t="s">
        <v>67</v>
      </c>
      <c r="DK214" s="558" t="s">
        <v>67</v>
      </c>
      <c r="DL214" s="559" t="s">
        <v>67</v>
      </c>
      <c r="DM214" s="559" t="s">
        <v>67</v>
      </c>
      <c r="DN214" s="559" t="s">
        <v>67</v>
      </c>
      <c r="DO214" s="560" t="s">
        <v>67</v>
      </c>
      <c r="DP214" s="561" t="s">
        <v>67</v>
      </c>
      <c r="DQ214" s="664" t="s">
        <v>67</v>
      </c>
      <c r="DR214" s="561" t="s">
        <v>67</v>
      </c>
      <c r="DS214" s="562" t="s">
        <v>67</v>
      </c>
      <c r="DT214" s="558" t="s">
        <v>67</v>
      </c>
      <c r="DU214" s="559" t="s">
        <v>67</v>
      </c>
      <c r="DV214" s="559" t="s">
        <v>67</v>
      </c>
      <c r="DW214" s="559" t="s">
        <v>67</v>
      </c>
      <c r="DX214" s="560" t="s">
        <v>67</v>
      </c>
      <c r="DY214" s="561" t="s">
        <v>67</v>
      </c>
      <c r="DZ214" s="664" t="s">
        <v>67</v>
      </c>
      <c r="EA214" s="561" t="s">
        <v>67</v>
      </c>
      <c r="EB214" s="562" t="s">
        <v>67</v>
      </c>
    </row>
    <row r="215" spans="1:132" s="2" customFormat="1" ht="25.5" x14ac:dyDescent="0.25">
      <c r="A215" s="577" t="s">
        <v>497</v>
      </c>
      <c r="B215" s="489" t="s">
        <v>498</v>
      </c>
      <c r="C215" s="565" t="s">
        <v>199</v>
      </c>
      <c r="D215" s="558">
        <v>326</v>
      </c>
      <c r="E215" s="559">
        <v>325</v>
      </c>
      <c r="F215" s="559">
        <v>315</v>
      </c>
      <c r="G215" s="559">
        <v>308</v>
      </c>
      <c r="H215" s="560">
        <v>263</v>
      </c>
      <c r="I215" s="561">
        <f t="shared" si="374"/>
        <v>0.94769230769230772</v>
      </c>
      <c r="J215" s="562">
        <f t="shared" si="375"/>
        <v>0.97777777777777775</v>
      </c>
      <c r="K215" s="558">
        <v>294</v>
      </c>
      <c r="L215" s="559">
        <v>293</v>
      </c>
      <c r="M215" s="559">
        <v>271</v>
      </c>
      <c r="N215" s="559">
        <v>269</v>
      </c>
      <c r="O215" s="560">
        <v>235</v>
      </c>
      <c r="P215" s="561">
        <f t="shared" si="376"/>
        <v>0.91808873720136519</v>
      </c>
      <c r="Q215" s="562">
        <f t="shared" si="377"/>
        <v>0.99261992619926198</v>
      </c>
      <c r="R215" s="558">
        <v>247</v>
      </c>
      <c r="S215" s="559">
        <v>243</v>
      </c>
      <c r="T215" s="559">
        <v>226</v>
      </c>
      <c r="U215" s="559">
        <v>224</v>
      </c>
      <c r="V215" s="560">
        <v>182</v>
      </c>
      <c r="W215" s="561">
        <f t="shared" si="372"/>
        <v>0.92181069958847739</v>
      </c>
      <c r="X215" s="562">
        <f t="shared" si="373"/>
        <v>0.99115044247787609</v>
      </c>
      <c r="Y215" s="558">
        <v>80</v>
      </c>
      <c r="Z215" s="559">
        <v>77</v>
      </c>
      <c r="AA215" s="559">
        <v>75</v>
      </c>
      <c r="AB215" s="559">
        <v>75</v>
      </c>
      <c r="AC215" s="560">
        <v>74</v>
      </c>
      <c r="AD215" s="561">
        <f t="shared" ref="AD215:AD221" si="378">AB215/Z215</f>
        <v>0.97402597402597402</v>
      </c>
      <c r="AE215" s="562">
        <f t="shared" ref="AE215:AE221" si="379">AB215/AA215</f>
        <v>1</v>
      </c>
      <c r="AF215" s="558">
        <v>50</v>
      </c>
      <c r="AG215" s="559">
        <v>50</v>
      </c>
      <c r="AH215" s="559">
        <v>47</v>
      </c>
      <c r="AI215" s="559">
        <v>45</v>
      </c>
      <c r="AJ215" s="560">
        <v>44</v>
      </c>
      <c r="AK215" s="561">
        <f t="shared" ref="AK215:AK221" si="380">AI215/AG215</f>
        <v>0.9</v>
      </c>
      <c r="AL215" s="562">
        <f t="shared" ref="AL215:AL221" si="381">AI215/AH215</f>
        <v>0.95744680851063835</v>
      </c>
      <c r="AM215" s="558">
        <v>416</v>
      </c>
      <c r="AN215" s="559">
        <v>416</v>
      </c>
      <c r="AO215" s="559">
        <v>359</v>
      </c>
      <c r="AP215" s="559">
        <v>350</v>
      </c>
      <c r="AQ215" s="560">
        <v>312</v>
      </c>
      <c r="AR215" s="561">
        <f t="shared" ref="AR215:AR221" si="382">AP215/AN215</f>
        <v>0.84134615384615385</v>
      </c>
      <c r="AS215" s="562">
        <f t="shared" ref="AS215:AS221" si="383">AP215/AO215</f>
        <v>0.97493036211699169</v>
      </c>
      <c r="AT215" s="558">
        <v>676</v>
      </c>
      <c r="AU215" s="559">
        <v>674</v>
      </c>
      <c r="AV215" s="559">
        <v>587</v>
      </c>
      <c r="AW215" s="559">
        <v>576</v>
      </c>
      <c r="AX215" s="560">
        <v>496</v>
      </c>
      <c r="AY215" s="561">
        <f t="shared" ref="AY215:AY221" si="384">AW215/AU215</f>
        <v>0.85459940652818989</v>
      </c>
      <c r="AZ215" s="562">
        <f t="shared" ref="AZ215:AZ221" si="385">AW215/AV215</f>
        <v>0.98126064735945484</v>
      </c>
      <c r="BA215" s="558">
        <v>863</v>
      </c>
      <c r="BB215" s="559">
        <v>863</v>
      </c>
      <c r="BC215" s="559">
        <v>714</v>
      </c>
      <c r="BD215" s="559">
        <v>694</v>
      </c>
      <c r="BE215" s="560">
        <v>569</v>
      </c>
      <c r="BF215" s="561">
        <f t="shared" ref="BF215:BF221" si="386">BD215/BB215</f>
        <v>0.80417149478563155</v>
      </c>
      <c r="BG215" s="562">
        <f t="shared" ref="BG215:BG221" si="387">BD215/BC215</f>
        <v>0.97198879551820727</v>
      </c>
      <c r="BH215" s="558">
        <v>73</v>
      </c>
      <c r="BI215" s="559">
        <v>73</v>
      </c>
      <c r="BJ215" s="559">
        <v>18</v>
      </c>
      <c r="BK215" s="559">
        <v>7</v>
      </c>
      <c r="BL215" s="560">
        <v>7</v>
      </c>
      <c r="BM215" s="561">
        <f t="shared" ref="BM215:BM221" si="388">BK215/BI215</f>
        <v>9.5890410958904104E-2</v>
      </c>
      <c r="BN215" s="562">
        <f t="shared" ref="BN215:BN221" si="389">BK215/BJ215</f>
        <v>0.3888888888888889</v>
      </c>
      <c r="BO215" s="558" t="s">
        <v>67</v>
      </c>
      <c r="BP215" s="559" t="s">
        <v>67</v>
      </c>
      <c r="BQ215" s="559" t="s">
        <v>67</v>
      </c>
      <c r="BR215" s="559" t="s">
        <v>67</v>
      </c>
      <c r="BS215" s="560" t="s">
        <v>67</v>
      </c>
      <c r="BT215" s="561" t="s">
        <v>67</v>
      </c>
      <c r="BU215" s="562" t="s">
        <v>67</v>
      </c>
      <c r="BV215" s="558" t="s">
        <v>67</v>
      </c>
      <c r="BW215" s="559" t="s">
        <v>67</v>
      </c>
      <c r="BX215" s="559" t="s">
        <v>67</v>
      </c>
      <c r="BY215" s="559" t="s">
        <v>67</v>
      </c>
      <c r="BZ215" s="560" t="s">
        <v>67</v>
      </c>
      <c r="CA215" s="561" t="s">
        <v>67</v>
      </c>
      <c r="CB215" s="562" t="s">
        <v>67</v>
      </c>
      <c r="CC215" s="558" t="s">
        <v>67</v>
      </c>
      <c r="CD215" s="559" t="s">
        <v>67</v>
      </c>
      <c r="CE215" s="559" t="s">
        <v>67</v>
      </c>
      <c r="CF215" s="559" t="s">
        <v>67</v>
      </c>
      <c r="CG215" s="560" t="s">
        <v>67</v>
      </c>
      <c r="CH215" s="561" t="s">
        <v>67</v>
      </c>
      <c r="CI215" s="562" t="s">
        <v>67</v>
      </c>
      <c r="CJ215" s="558" t="s">
        <v>67</v>
      </c>
      <c r="CK215" s="559" t="s">
        <v>67</v>
      </c>
      <c r="CL215" s="559" t="s">
        <v>67</v>
      </c>
      <c r="CM215" s="559" t="s">
        <v>67</v>
      </c>
      <c r="CN215" s="560" t="s">
        <v>67</v>
      </c>
      <c r="CO215" s="561" t="s">
        <v>67</v>
      </c>
      <c r="CP215" s="664" t="s">
        <v>67</v>
      </c>
      <c r="CQ215" s="561" t="s">
        <v>67</v>
      </c>
      <c r="CR215" s="562" t="s">
        <v>67</v>
      </c>
      <c r="CS215" s="558" t="s">
        <v>67</v>
      </c>
      <c r="CT215" s="559" t="s">
        <v>67</v>
      </c>
      <c r="CU215" s="559" t="s">
        <v>67</v>
      </c>
      <c r="CV215" s="559" t="s">
        <v>67</v>
      </c>
      <c r="CW215" s="560" t="s">
        <v>67</v>
      </c>
      <c r="CX215" s="561" t="s">
        <v>67</v>
      </c>
      <c r="CY215" s="664" t="s">
        <v>67</v>
      </c>
      <c r="CZ215" s="561" t="s">
        <v>67</v>
      </c>
      <c r="DA215" s="562" t="s">
        <v>67</v>
      </c>
      <c r="DB215" s="558" t="s">
        <v>67</v>
      </c>
      <c r="DC215" s="559" t="s">
        <v>67</v>
      </c>
      <c r="DD215" s="559" t="s">
        <v>67</v>
      </c>
      <c r="DE215" s="559" t="s">
        <v>67</v>
      </c>
      <c r="DF215" s="560" t="s">
        <v>67</v>
      </c>
      <c r="DG215" s="561" t="s">
        <v>67</v>
      </c>
      <c r="DH215" s="664" t="s">
        <v>67</v>
      </c>
      <c r="DI215" s="561" t="s">
        <v>67</v>
      </c>
      <c r="DJ215" s="562" t="s">
        <v>67</v>
      </c>
      <c r="DK215" s="558" t="s">
        <v>67</v>
      </c>
      <c r="DL215" s="559" t="s">
        <v>67</v>
      </c>
      <c r="DM215" s="559" t="s">
        <v>67</v>
      </c>
      <c r="DN215" s="559" t="s">
        <v>67</v>
      </c>
      <c r="DO215" s="560" t="s">
        <v>67</v>
      </c>
      <c r="DP215" s="561" t="s">
        <v>67</v>
      </c>
      <c r="DQ215" s="664" t="s">
        <v>67</v>
      </c>
      <c r="DR215" s="561" t="s">
        <v>67</v>
      </c>
      <c r="DS215" s="562" t="s">
        <v>67</v>
      </c>
      <c r="DT215" s="558" t="s">
        <v>67</v>
      </c>
      <c r="DU215" s="559" t="s">
        <v>67</v>
      </c>
      <c r="DV215" s="559" t="s">
        <v>67</v>
      </c>
      <c r="DW215" s="559" t="s">
        <v>67</v>
      </c>
      <c r="DX215" s="560" t="s">
        <v>67</v>
      </c>
      <c r="DY215" s="561" t="s">
        <v>67</v>
      </c>
      <c r="DZ215" s="664" t="s">
        <v>67</v>
      </c>
      <c r="EA215" s="561" t="s">
        <v>67</v>
      </c>
      <c r="EB215" s="562" t="s">
        <v>67</v>
      </c>
    </row>
    <row r="216" spans="1:132" s="2" customFormat="1" x14ac:dyDescent="0.25">
      <c r="A216" s="577" t="s">
        <v>607</v>
      </c>
      <c r="B216" s="489" t="s">
        <v>499</v>
      </c>
      <c r="C216" s="565" t="s">
        <v>199</v>
      </c>
      <c r="D216" s="558">
        <v>72</v>
      </c>
      <c r="E216" s="559">
        <v>62</v>
      </c>
      <c r="F216" s="559">
        <v>62</v>
      </c>
      <c r="G216" s="559">
        <v>51</v>
      </c>
      <c r="H216" s="560">
        <v>47</v>
      </c>
      <c r="I216" s="561">
        <f t="shared" si="374"/>
        <v>0.82258064516129037</v>
      </c>
      <c r="J216" s="562">
        <f t="shared" si="375"/>
        <v>0.82258064516129037</v>
      </c>
      <c r="K216" s="558">
        <v>59</v>
      </c>
      <c r="L216" s="559">
        <v>59</v>
      </c>
      <c r="M216" s="559">
        <v>59</v>
      </c>
      <c r="N216" s="559">
        <v>46</v>
      </c>
      <c r="O216" s="560">
        <v>41</v>
      </c>
      <c r="P216" s="561">
        <f t="shared" si="376"/>
        <v>0.77966101694915257</v>
      </c>
      <c r="Q216" s="562">
        <f t="shared" si="377"/>
        <v>0.77966101694915257</v>
      </c>
      <c r="R216" s="558">
        <v>81</v>
      </c>
      <c r="S216" s="559">
        <v>78</v>
      </c>
      <c r="T216" s="559">
        <v>78</v>
      </c>
      <c r="U216" s="559">
        <v>60</v>
      </c>
      <c r="V216" s="560">
        <v>56</v>
      </c>
      <c r="W216" s="561">
        <f t="shared" si="372"/>
        <v>0.76923076923076927</v>
      </c>
      <c r="X216" s="562">
        <f t="shared" si="373"/>
        <v>0.76923076923076927</v>
      </c>
      <c r="Y216" s="558">
        <v>68</v>
      </c>
      <c r="Z216" s="559">
        <v>68</v>
      </c>
      <c r="AA216" s="559">
        <v>68</v>
      </c>
      <c r="AB216" s="559">
        <v>37</v>
      </c>
      <c r="AC216" s="560">
        <v>36</v>
      </c>
      <c r="AD216" s="561">
        <f t="shared" si="378"/>
        <v>0.54411764705882348</v>
      </c>
      <c r="AE216" s="562">
        <f t="shared" si="379"/>
        <v>0.54411764705882348</v>
      </c>
      <c r="AF216" s="558">
        <v>57</v>
      </c>
      <c r="AG216" s="559">
        <v>57</v>
      </c>
      <c r="AH216" s="559">
        <v>56</v>
      </c>
      <c r="AI216" s="559">
        <v>42</v>
      </c>
      <c r="AJ216" s="560">
        <v>38</v>
      </c>
      <c r="AK216" s="561">
        <f t="shared" si="380"/>
        <v>0.73684210526315785</v>
      </c>
      <c r="AL216" s="562">
        <f t="shared" si="381"/>
        <v>0.75</v>
      </c>
      <c r="AM216" s="558">
        <v>69</v>
      </c>
      <c r="AN216" s="559">
        <v>68</v>
      </c>
      <c r="AO216" s="559">
        <v>67</v>
      </c>
      <c r="AP216" s="559">
        <v>48</v>
      </c>
      <c r="AQ216" s="560">
        <v>44</v>
      </c>
      <c r="AR216" s="561">
        <f t="shared" si="382"/>
        <v>0.70588235294117652</v>
      </c>
      <c r="AS216" s="562">
        <f t="shared" si="383"/>
        <v>0.71641791044776115</v>
      </c>
      <c r="AT216" s="558">
        <v>57</v>
      </c>
      <c r="AU216" s="559">
        <v>56</v>
      </c>
      <c r="AV216" s="559">
        <v>56</v>
      </c>
      <c r="AW216" s="559">
        <v>41</v>
      </c>
      <c r="AX216" s="560">
        <v>39</v>
      </c>
      <c r="AY216" s="561">
        <f t="shared" si="384"/>
        <v>0.7321428571428571</v>
      </c>
      <c r="AZ216" s="562">
        <f t="shared" si="385"/>
        <v>0.7321428571428571</v>
      </c>
      <c r="BA216" s="558">
        <v>48</v>
      </c>
      <c r="BB216" s="559">
        <v>47</v>
      </c>
      <c r="BC216" s="559">
        <v>47</v>
      </c>
      <c r="BD216" s="559">
        <v>35</v>
      </c>
      <c r="BE216" s="560">
        <v>29</v>
      </c>
      <c r="BF216" s="561">
        <f t="shared" si="386"/>
        <v>0.74468085106382975</v>
      </c>
      <c r="BG216" s="562">
        <f t="shared" si="387"/>
        <v>0.74468085106382975</v>
      </c>
      <c r="BH216" s="558">
        <v>69</v>
      </c>
      <c r="BI216" s="559">
        <v>67</v>
      </c>
      <c r="BJ216" s="559">
        <v>65</v>
      </c>
      <c r="BK216" s="559">
        <v>59</v>
      </c>
      <c r="BL216" s="560">
        <v>57</v>
      </c>
      <c r="BM216" s="561">
        <f t="shared" si="388"/>
        <v>0.88059701492537312</v>
      </c>
      <c r="BN216" s="562">
        <f t="shared" si="389"/>
        <v>0.90769230769230769</v>
      </c>
      <c r="BO216" s="558">
        <v>52</v>
      </c>
      <c r="BP216" s="559">
        <v>51</v>
      </c>
      <c r="BQ216" s="559">
        <v>49</v>
      </c>
      <c r="BR216" s="559">
        <v>41</v>
      </c>
      <c r="BS216" s="560">
        <v>39</v>
      </c>
      <c r="BT216" s="561">
        <f t="shared" ref="BT216:BT221" si="390">BR216/BP216</f>
        <v>0.80392156862745101</v>
      </c>
      <c r="BU216" s="562">
        <f t="shared" ref="BU216:BU221" si="391">BR216/BQ216</f>
        <v>0.83673469387755106</v>
      </c>
      <c r="BV216" s="558">
        <v>47</v>
      </c>
      <c r="BW216" s="559">
        <v>47</v>
      </c>
      <c r="BX216" s="559">
        <v>47</v>
      </c>
      <c r="BY216" s="559">
        <v>46</v>
      </c>
      <c r="BZ216" s="560">
        <v>43</v>
      </c>
      <c r="CA216" s="561">
        <f t="shared" ref="CA216:CA220" si="392">BY216/BW216</f>
        <v>0.97872340425531912</v>
      </c>
      <c r="CB216" s="562">
        <f t="shared" ref="CB216:CB220" si="393">BY216/BX216</f>
        <v>0.97872340425531912</v>
      </c>
      <c r="CC216" s="558">
        <v>47</v>
      </c>
      <c r="CD216" s="559">
        <v>45</v>
      </c>
      <c r="CE216" s="559">
        <v>45</v>
      </c>
      <c r="CF216" s="559">
        <v>41</v>
      </c>
      <c r="CG216" s="560">
        <v>37</v>
      </c>
      <c r="CH216" s="561">
        <f t="shared" ref="CH216:CH220" si="394">CF216/CD216</f>
        <v>0.91111111111111109</v>
      </c>
      <c r="CI216" s="562">
        <f t="shared" ref="CI216:CI220" si="395">CF216/CE216</f>
        <v>0.91111111111111109</v>
      </c>
      <c r="CJ216" s="558">
        <v>68</v>
      </c>
      <c r="CK216" s="559">
        <v>65</v>
      </c>
      <c r="CL216" s="559">
        <v>64</v>
      </c>
      <c r="CM216" s="559">
        <v>55</v>
      </c>
      <c r="CN216" s="560">
        <v>47</v>
      </c>
      <c r="CO216" s="561">
        <f t="shared" ref="CO216:CO220" si="396">CM216/CK216</f>
        <v>0.84615384615384615</v>
      </c>
      <c r="CP216" s="664">
        <f t="shared" ref="CP216:CP220" si="397">CM216/CL216</f>
        <v>0.859375</v>
      </c>
      <c r="CQ216" s="561">
        <v>0.84615384615384615</v>
      </c>
      <c r="CR216" s="562">
        <v>0.859375</v>
      </c>
      <c r="CS216" s="558">
        <v>49</v>
      </c>
      <c r="CT216" s="559">
        <v>43</v>
      </c>
      <c r="CU216" s="559">
        <v>43</v>
      </c>
      <c r="CV216" s="559">
        <v>36</v>
      </c>
      <c r="CW216" s="560">
        <v>34</v>
      </c>
      <c r="CX216" s="561">
        <f t="shared" ref="CX216:CX220" si="398">CV216/CT216</f>
        <v>0.83720930232558144</v>
      </c>
      <c r="CY216" s="664">
        <f t="shared" ref="CY216:CY220" si="399">CV216/CU216</f>
        <v>0.83720930232558144</v>
      </c>
      <c r="CZ216" s="561">
        <v>0.83720930232558144</v>
      </c>
      <c r="DA216" s="562">
        <v>0.83720930232558144</v>
      </c>
      <c r="DB216" s="558">
        <v>56</v>
      </c>
      <c r="DC216" s="559">
        <v>55</v>
      </c>
      <c r="DD216" s="559">
        <v>51</v>
      </c>
      <c r="DE216" s="559">
        <v>44</v>
      </c>
      <c r="DF216" s="560">
        <v>34</v>
      </c>
      <c r="DG216" s="561">
        <f t="shared" ref="DG216:DG220" si="400">DE216/DC216</f>
        <v>0.8</v>
      </c>
      <c r="DH216" s="664">
        <f t="shared" ref="DH216:DH220" si="401">DE216/DD216</f>
        <v>0.86274509803921573</v>
      </c>
      <c r="DI216" s="561">
        <v>0.8</v>
      </c>
      <c r="DJ216" s="562">
        <v>0.86274509803921573</v>
      </c>
      <c r="DK216" s="558">
        <v>66</v>
      </c>
      <c r="DL216" s="559">
        <v>66</v>
      </c>
      <c r="DM216" s="559">
        <v>63</v>
      </c>
      <c r="DN216" s="559">
        <v>53</v>
      </c>
      <c r="DO216" s="560">
        <v>52</v>
      </c>
      <c r="DP216" s="561">
        <f t="shared" ref="DP216:DP220" si="402">DN216/DL216</f>
        <v>0.80303030303030298</v>
      </c>
      <c r="DQ216" s="664">
        <f t="shared" ref="DQ216:DQ220" si="403">DN216/DM216</f>
        <v>0.84126984126984128</v>
      </c>
      <c r="DR216" s="561">
        <v>0.80303030303030298</v>
      </c>
      <c r="DS216" s="562">
        <v>0.84126984126984128</v>
      </c>
      <c r="DT216" s="558">
        <v>55</v>
      </c>
      <c r="DU216" s="559">
        <v>54</v>
      </c>
      <c r="DV216" s="559">
        <v>53</v>
      </c>
      <c r="DW216" s="559">
        <v>38</v>
      </c>
      <c r="DX216" s="560">
        <v>31</v>
      </c>
      <c r="DY216" s="561">
        <f t="shared" ref="DY216:DY220" si="404">DW216/DU216</f>
        <v>0.70370370370370372</v>
      </c>
      <c r="DZ216" s="664">
        <f t="shared" ref="DZ216:DZ220" si="405">DW216/DV216</f>
        <v>0.71698113207547165</v>
      </c>
      <c r="EA216" s="561">
        <v>0.70370370370370372</v>
      </c>
      <c r="EB216" s="562">
        <v>0.71698113207547165</v>
      </c>
    </row>
    <row r="217" spans="1:132" s="2" customFormat="1" x14ac:dyDescent="0.25">
      <c r="A217" s="577" t="s">
        <v>570</v>
      </c>
      <c r="B217" s="489" t="s">
        <v>500</v>
      </c>
      <c r="C217" s="565" t="s">
        <v>199</v>
      </c>
      <c r="D217" s="558">
        <v>113</v>
      </c>
      <c r="E217" s="559">
        <v>113</v>
      </c>
      <c r="F217" s="559">
        <v>77</v>
      </c>
      <c r="G217" s="559">
        <v>77</v>
      </c>
      <c r="H217" s="560">
        <v>68</v>
      </c>
      <c r="I217" s="561">
        <f t="shared" si="374"/>
        <v>0.68141592920353977</v>
      </c>
      <c r="J217" s="562">
        <f t="shared" si="375"/>
        <v>1</v>
      </c>
      <c r="K217" s="558">
        <v>131</v>
      </c>
      <c r="L217" s="559">
        <v>131</v>
      </c>
      <c r="M217" s="559">
        <v>107</v>
      </c>
      <c r="N217" s="559">
        <v>107</v>
      </c>
      <c r="O217" s="560">
        <v>90</v>
      </c>
      <c r="P217" s="561">
        <f t="shared" si="376"/>
        <v>0.81679389312977102</v>
      </c>
      <c r="Q217" s="562">
        <f t="shared" si="377"/>
        <v>1</v>
      </c>
      <c r="R217" s="558">
        <v>144</v>
      </c>
      <c r="S217" s="559">
        <v>143</v>
      </c>
      <c r="T217" s="559">
        <v>114</v>
      </c>
      <c r="U217" s="559">
        <v>114</v>
      </c>
      <c r="V217" s="560">
        <v>93</v>
      </c>
      <c r="W217" s="561">
        <f t="shared" si="372"/>
        <v>0.79720279720279719</v>
      </c>
      <c r="X217" s="562">
        <f t="shared" si="373"/>
        <v>1</v>
      </c>
      <c r="Y217" s="558">
        <v>178</v>
      </c>
      <c r="Z217" s="559">
        <v>178</v>
      </c>
      <c r="AA217" s="559">
        <v>159</v>
      </c>
      <c r="AB217" s="559">
        <v>159</v>
      </c>
      <c r="AC217" s="560">
        <v>133</v>
      </c>
      <c r="AD217" s="561">
        <f t="shared" si="378"/>
        <v>0.8932584269662921</v>
      </c>
      <c r="AE217" s="562">
        <f t="shared" si="379"/>
        <v>1</v>
      </c>
      <c r="AF217" s="558">
        <v>202</v>
      </c>
      <c r="AG217" s="559">
        <v>202</v>
      </c>
      <c r="AH217" s="559">
        <v>171</v>
      </c>
      <c r="AI217" s="559">
        <v>170</v>
      </c>
      <c r="AJ217" s="560">
        <v>132</v>
      </c>
      <c r="AK217" s="561">
        <f t="shared" si="380"/>
        <v>0.84158415841584155</v>
      </c>
      <c r="AL217" s="562">
        <f t="shared" si="381"/>
        <v>0.99415204678362568</v>
      </c>
      <c r="AM217" s="558">
        <v>216</v>
      </c>
      <c r="AN217" s="559">
        <v>216</v>
      </c>
      <c r="AO217" s="559">
        <v>168</v>
      </c>
      <c r="AP217" s="559">
        <v>167</v>
      </c>
      <c r="AQ217" s="560">
        <v>131</v>
      </c>
      <c r="AR217" s="561">
        <f t="shared" si="382"/>
        <v>0.77314814814814814</v>
      </c>
      <c r="AS217" s="562">
        <f t="shared" si="383"/>
        <v>0.99404761904761907</v>
      </c>
      <c r="AT217" s="558">
        <v>256</v>
      </c>
      <c r="AU217" s="559">
        <v>256</v>
      </c>
      <c r="AV217" s="559">
        <v>256</v>
      </c>
      <c r="AW217" s="559">
        <v>148</v>
      </c>
      <c r="AX217" s="560">
        <v>147</v>
      </c>
      <c r="AY217" s="561">
        <f t="shared" si="384"/>
        <v>0.578125</v>
      </c>
      <c r="AZ217" s="562">
        <f t="shared" si="385"/>
        <v>0.578125</v>
      </c>
      <c r="BA217" s="558">
        <v>296</v>
      </c>
      <c r="BB217" s="559">
        <v>296</v>
      </c>
      <c r="BC217" s="559">
        <v>243</v>
      </c>
      <c r="BD217" s="559">
        <v>243</v>
      </c>
      <c r="BE217" s="560">
        <v>181</v>
      </c>
      <c r="BF217" s="561">
        <f t="shared" si="386"/>
        <v>0.82094594594594594</v>
      </c>
      <c r="BG217" s="562">
        <f t="shared" si="387"/>
        <v>1</v>
      </c>
      <c r="BH217" s="558">
        <v>282</v>
      </c>
      <c r="BI217" s="559">
        <v>281</v>
      </c>
      <c r="BJ217" s="559">
        <v>234</v>
      </c>
      <c r="BK217" s="559">
        <v>234</v>
      </c>
      <c r="BL217" s="560">
        <v>171</v>
      </c>
      <c r="BM217" s="561">
        <f t="shared" si="388"/>
        <v>0.83274021352313166</v>
      </c>
      <c r="BN217" s="562">
        <f t="shared" si="389"/>
        <v>1</v>
      </c>
      <c r="BO217" s="558">
        <v>249</v>
      </c>
      <c r="BP217" s="559">
        <v>247</v>
      </c>
      <c r="BQ217" s="559">
        <v>197</v>
      </c>
      <c r="BR217" s="559">
        <v>197</v>
      </c>
      <c r="BS217" s="560">
        <v>140</v>
      </c>
      <c r="BT217" s="561">
        <f t="shared" si="390"/>
        <v>0.79757085020242913</v>
      </c>
      <c r="BU217" s="562">
        <f t="shared" si="391"/>
        <v>1</v>
      </c>
      <c r="BV217" s="558">
        <v>270</v>
      </c>
      <c r="BW217" s="559">
        <v>269</v>
      </c>
      <c r="BX217" s="559">
        <v>217</v>
      </c>
      <c r="BY217" s="559">
        <v>217</v>
      </c>
      <c r="BZ217" s="560">
        <v>147</v>
      </c>
      <c r="CA217" s="561">
        <f t="shared" si="392"/>
        <v>0.80669144981412644</v>
      </c>
      <c r="CB217" s="562">
        <f t="shared" si="393"/>
        <v>1</v>
      </c>
      <c r="CC217" s="558">
        <v>322</v>
      </c>
      <c r="CD217" s="559">
        <v>322</v>
      </c>
      <c r="CE217" s="559">
        <v>269</v>
      </c>
      <c r="CF217" s="559">
        <v>269</v>
      </c>
      <c r="CG217" s="560">
        <v>189</v>
      </c>
      <c r="CH217" s="561">
        <f t="shared" si="394"/>
        <v>0.8354037267080745</v>
      </c>
      <c r="CI217" s="562">
        <f t="shared" si="395"/>
        <v>1</v>
      </c>
      <c r="CJ217" s="558">
        <v>326</v>
      </c>
      <c r="CK217" s="559">
        <v>326</v>
      </c>
      <c r="CL217" s="559">
        <v>279</v>
      </c>
      <c r="CM217" s="559">
        <v>279</v>
      </c>
      <c r="CN217" s="560">
        <v>170</v>
      </c>
      <c r="CO217" s="561">
        <f t="shared" si="396"/>
        <v>0.85582822085889576</v>
      </c>
      <c r="CP217" s="664">
        <f t="shared" si="397"/>
        <v>1</v>
      </c>
      <c r="CQ217" s="561">
        <v>0.85582822085889576</v>
      </c>
      <c r="CR217" s="562">
        <v>1</v>
      </c>
      <c r="CS217" s="558">
        <v>316</v>
      </c>
      <c r="CT217" s="559">
        <v>314</v>
      </c>
      <c r="CU217" s="559">
        <v>264</v>
      </c>
      <c r="CV217" s="559">
        <v>264</v>
      </c>
      <c r="CW217" s="560">
        <v>176</v>
      </c>
      <c r="CX217" s="561">
        <f t="shared" si="398"/>
        <v>0.84076433121019112</v>
      </c>
      <c r="CY217" s="664">
        <f t="shared" si="399"/>
        <v>1</v>
      </c>
      <c r="CZ217" s="561">
        <v>0.84076433121019112</v>
      </c>
      <c r="DA217" s="562">
        <v>1</v>
      </c>
      <c r="DB217" s="558">
        <v>313</v>
      </c>
      <c r="DC217" s="559">
        <v>311</v>
      </c>
      <c r="DD217" s="559">
        <v>217</v>
      </c>
      <c r="DE217" s="559">
        <v>217</v>
      </c>
      <c r="DF217" s="560">
        <v>210</v>
      </c>
      <c r="DG217" s="561">
        <f t="shared" si="400"/>
        <v>0.69774919614147912</v>
      </c>
      <c r="DH217" s="664">
        <f t="shared" si="401"/>
        <v>1</v>
      </c>
      <c r="DI217" s="561">
        <v>0.69774919614147912</v>
      </c>
      <c r="DJ217" s="562">
        <v>1</v>
      </c>
      <c r="DK217" s="558">
        <v>362</v>
      </c>
      <c r="DL217" s="559">
        <v>359</v>
      </c>
      <c r="DM217" s="559">
        <v>219</v>
      </c>
      <c r="DN217" s="559">
        <v>219</v>
      </c>
      <c r="DO217" s="560">
        <v>216</v>
      </c>
      <c r="DP217" s="561">
        <f t="shared" si="402"/>
        <v>0.61002785515320335</v>
      </c>
      <c r="DQ217" s="664">
        <f t="shared" si="403"/>
        <v>1</v>
      </c>
      <c r="DR217" s="561">
        <v>0.61002785515320335</v>
      </c>
      <c r="DS217" s="562">
        <v>1</v>
      </c>
      <c r="DT217" s="558">
        <v>426</v>
      </c>
      <c r="DU217" s="559">
        <v>424</v>
      </c>
      <c r="DV217" s="559">
        <v>247</v>
      </c>
      <c r="DW217" s="559">
        <v>247</v>
      </c>
      <c r="DX217" s="560">
        <v>247</v>
      </c>
      <c r="DY217" s="561">
        <f t="shared" si="404"/>
        <v>0.58254716981132071</v>
      </c>
      <c r="DZ217" s="664">
        <f t="shared" si="405"/>
        <v>1</v>
      </c>
      <c r="EA217" s="561">
        <v>0.58254716981132071</v>
      </c>
      <c r="EB217" s="562">
        <v>1</v>
      </c>
    </row>
    <row r="218" spans="1:132" s="2" customFormat="1" x14ac:dyDescent="0.25">
      <c r="A218" s="577" t="s">
        <v>600</v>
      </c>
      <c r="B218" s="489" t="s">
        <v>501</v>
      </c>
      <c r="C218" s="565" t="s">
        <v>199</v>
      </c>
      <c r="D218" s="558">
        <v>118</v>
      </c>
      <c r="E218" s="559">
        <v>117</v>
      </c>
      <c r="F218" s="559">
        <v>87</v>
      </c>
      <c r="G218" s="559">
        <v>59</v>
      </c>
      <c r="H218" s="560">
        <v>57</v>
      </c>
      <c r="I218" s="561">
        <f t="shared" si="374"/>
        <v>0.50427350427350426</v>
      </c>
      <c r="J218" s="562">
        <f t="shared" si="375"/>
        <v>0.67816091954022983</v>
      </c>
      <c r="K218" s="558">
        <v>105</v>
      </c>
      <c r="L218" s="559">
        <v>105</v>
      </c>
      <c r="M218" s="559">
        <v>73</v>
      </c>
      <c r="N218" s="559">
        <v>60</v>
      </c>
      <c r="O218" s="560">
        <v>60</v>
      </c>
      <c r="P218" s="561">
        <f t="shared" si="376"/>
        <v>0.5714285714285714</v>
      </c>
      <c r="Q218" s="562">
        <f t="shared" si="377"/>
        <v>0.82191780821917804</v>
      </c>
      <c r="R218" s="558">
        <v>115</v>
      </c>
      <c r="S218" s="559">
        <v>114</v>
      </c>
      <c r="T218" s="559">
        <v>88</v>
      </c>
      <c r="U218" s="559">
        <v>73</v>
      </c>
      <c r="V218" s="560">
        <v>73</v>
      </c>
      <c r="W218" s="561">
        <f t="shared" si="372"/>
        <v>0.64035087719298245</v>
      </c>
      <c r="X218" s="562">
        <f t="shared" si="373"/>
        <v>0.82954545454545459</v>
      </c>
      <c r="Y218" s="558">
        <v>191</v>
      </c>
      <c r="Z218" s="559">
        <v>186</v>
      </c>
      <c r="AA218" s="559">
        <v>157</v>
      </c>
      <c r="AB218" s="559">
        <v>141</v>
      </c>
      <c r="AC218" s="560">
        <v>141</v>
      </c>
      <c r="AD218" s="561">
        <f t="shared" si="378"/>
        <v>0.75806451612903225</v>
      </c>
      <c r="AE218" s="562">
        <f t="shared" si="379"/>
        <v>0.89808917197452232</v>
      </c>
      <c r="AF218" s="558">
        <v>279</v>
      </c>
      <c r="AG218" s="559">
        <v>268</v>
      </c>
      <c r="AH218" s="559">
        <v>239</v>
      </c>
      <c r="AI218" s="559">
        <v>228</v>
      </c>
      <c r="AJ218" s="560">
        <v>214</v>
      </c>
      <c r="AK218" s="561">
        <f t="shared" si="380"/>
        <v>0.85074626865671643</v>
      </c>
      <c r="AL218" s="562">
        <f t="shared" si="381"/>
        <v>0.95397489539748959</v>
      </c>
      <c r="AM218" s="558">
        <v>411</v>
      </c>
      <c r="AN218" s="559">
        <v>399</v>
      </c>
      <c r="AO218" s="559">
        <v>373</v>
      </c>
      <c r="AP218" s="559">
        <v>313</v>
      </c>
      <c r="AQ218" s="560">
        <v>294</v>
      </c>
      <c r="AR218" s="561">
        <f t="shared" si="382"/>
        <v>0.78446115288220553</v>
      </c>
      <c r="AS218" s="562">
        <f t="shared" si="383"/>
        <v>0.83914209115281502</v>
      </c>
      <c r="AT218" s="558">
        <v>394</v>
      </c>
      <c r="AU218" s="559">
        <v>390</v>
      </c>
      <c r="AV218" s="559">
        <v>378</v>
      </c>
      <c r="AW218" s="559">
        <v>318</v>
      </c>
      <c r="AX218" s="560">
        <v>272</v>
      </c>
      <c r="AY218" s="561">
        <f t="shared" si="384"/>
        <v>0.81538461538461537</v>
      </c>
      <c r="AZ218" s="562">
        <f t="shared" si="385"/>
        <v>0.84126984126984128</v>
      </c>
      <c r="BA218" s="558">
        <v>354</v>
      </c>
      <c r="BB218" s="559">
        <v>350</v>
      </c>
      <c r="BC218" s="559">
        <v>350</v>
      </c>
      <c r="BD218" s="559">
        <v>280</v>
      </c>
      <c r="BE218" s="560">
        <v>256</v>
      </c>
      <c r="BF218" s="561">
        <f t="shared" si="386"/>
        <v>0.8</v>
      </c>
      <c r="BG218" s="562">
        <f t="shared" si="387"/>
        <v>0.8</v>
      </c>
      <c r="BH218" s="558">
        <v>456</v>
      </c>
      <c r="BI218" s="559">
        <v>452</v>
      </c>
      <c r="BJ218" s="559">
        <v>452</v>
      </c>
      <c r="BK218" s="559">
        <v>449</v>
      </c>
      <c r="BL218" s="560">
        <v>368</v>
      </c>
      <c r="BM218" s="561">
        <f t="shared" si="388"/>
        <v>0.99336283185840712</v>
      </c>
      <c r="BN218" s="562">
        <f t="shared" si="389"/>
        <v>0.99336283185840712</v>
      </c>
      <c r="BO218" s="558">
        <v>521</v>
      </c>
      <c r="BP218" s="559">
        <v>518</v>
      </c>
      <c r="BQ218" s="559">
        <v>518</v>
      </c>
      <c r="BR218" s="559">
        <v>517</v>
      </c>
      <c r="BS218" s="560">
        <v>400</v>
      </c>
      <c r="BT218" s="561">
        <f t="shared" si="390"/>
        <v>0.99806949806949807</v>
      </c>
      <c r="BU218" s="562">
        <f t="shared" si="391"/>
        <v>0.99806949806949807</v>
      </c>
      <c r="BV218" s="558">
        <v>1185</v>
      </c>
      <c r="BW218" s="559">
        <v>1177</v>
      </c>
      <c r="BX218" s="559">
        <v>1177</v>
      </c>
      <c r="BY218" s="559">
        <v>1176</v>
      </c>
      <c r="BZ218" s="560">
        <v>1068</v>
      </c>
      <c r="CA218" s="561">
        <f t="shared" si="392"/>
        <v>0.99915038232795239</v>
      </c>
      <c r="CB218" s="562">
        <f t="shared" si="393"/>
        <v>0.99915038232795239</v>
      </c>
      <c r="CC218" s="558">
        <v>586</v>
      </c>
      <c r="CD218" s="559">
        <v>585</v>
      </c>
      <c r="CE218" s="559">
        <v>585</v>
      </c>
      <c r="CF218" s="559">
        <v>469</v>
      </c>
      <c r="CG218" s="560">
        <v>468</v>
      </c>
      <c r="CH218" s="561">
        <f t="shared" si="394"/>
        <v>0.80170940170940175</v>
      </c>
      <c r="CI218" s="562">
        <f t="shared" si="395"/>
        <v>0.80170940170940175</v>
      </c>
      <c r="CJ218" s="558">
        <v>510</v>
      </c>
      <c r="CK218" s="559">
        <v>508</v>
      </c>
      <c r="CL218" s="559">
        <v>508</v>
      </c>
      <c r="CM218" s="559">
        <v>413</v>
      </c>
      <c r="CN218" s="560">
        <v>406</v>
      </c>
      <c r="CO218" s="561">
        <f t="shared" si="396"/>
        <v>0.81299212598425197</v>
      </c>
      <c r="CP218" s="664">
        <f t="shared" si="397"/>
        <v>0.81299212598425197</v>
      </c>
      <c r="CQ218" s="561">
        <v>0.99606299212598426</v>
      </c>
      <c r="CR218" s="562">
        <v>0.99606299212598426</v>
      </c>
      <c r="CS218" s="558">
        <v>607</v>
      </c>
      <c r="CT218" s="559">
        <v>605</v>
      </c>
      <c r="CU218" s="559">
        <v>605</v>
      </c>
      <c r="CV218" s="559">
        <v>518</v>
      </c>
      <c r="CW218" s="560">
        <v>511</v>
      </c>
      <c r="CX218" s="561">
        <f t="shared" si="398"/>
        <v>0.85619834710743803</v>
      </c>
      <c r="CY218" s="664">
        <f t="shared" si="399"/>
        <v>0.85619834710743803</v>
      </c>
      <c r="CZ218" s="561">
        <v>1</v>
      </c>
      <c r="DA218" s="562">
        <v>1</v>
      </c>
      <c r="DB218" s="558">
        <v>644</v>
      </c>
      <c r="DC218" s="559">
        <v>643</v>
      </c>
      <c r="DD218" s="559">
        <v>643</v>
      </c>
      <c r="DE218" s="559">
        <v>534</v>
      </c>
      <c r="DF218" s="560">
        <v>530</v>
      </c>
      <c r="DG218" s="561">
        <f t="shared" si="400"/>
        <v>0.8304821150855366</v>
      </c>
      <c r="DH218" s="664">
        <f t="shared" si="401"/>
        <v>0.8304821150855366</v>
      </c>
      <c r="DI218" s="561">
        <v>0.99844479004665632</v>
      </c>
      <c r="DJ218" s="562">
        <v>0.99844479004665632</v>
      </c>
      <c r="DK218" s="558">
        <v>469</v>
      </c>
      <c r="DL218" s="559">
        <v>469</v>
      </c>
      <c r="DM218" s="559">
        <v>469</v>
      </c>
      <c r="DN218" s="559">
        <v>469</v>
      </c>
      <c r="DO218" s="560">
        <v>438</v>
      </c>
      <c r="DP218" s="561">
        <f t="shared" si="402"/>
        <v>1</v>
      </c>
      <c r="DQ218" s="664">
        <f t="shared" si="403"/>
        <v>1</v>
      </c>
      <c r="DR218" s="561">
        <v>1</v>
      </c>
      <c r="DS218" s="562">
        <v>1</v>
      </c>
      <c r="DT218" s="558">
        <v>664</v>
      </c>
      <c r="DU218" s="559">
        <v>661</v>
      </c>
      <c r="DV218" s="559">
        <v>661</v>
      </c>
      <c r="DW218" s="559">
        <v>552</v>
      </c>
      <c r="DX218" s="560">
        <v>552</v>
      </c>
      <c r="DY218" s="561">
        <f t="shared" si="404"/>
        <v>0.83509833585476556</v>
      </c>
      <c r="DZ218" s="664">
        <f t="shared" si="405"/>
        <v>0.83509833585476556</v>
      </c>
      <c r="EA218" s="561">
        <v>0.83812405446293492</v>
      </c>
      <c r="EB218" s="562">
        <v>0.83812405446293492</v>
      </c>
    </row>
    <row r="219" spans="1:132" s="2" customFormat="1" x14ac:dyDescent="0.25">
      <c r="A219" s="577" t="s">
        <v>571</v>
      </c>
      <c r="B219" s="489" t="s">
        <v>502</v>
      </c>
      <c r="C219" s="565" t="s">
        <v>199</v>
      </c>
      <c r="D219" s="558">
        <v>271</v>
      </c>
      <c r="E219" s="559">
        <v>271</v>
      </c>
      <c r="F219" s="559">
        <v>271</v>
      </c>
      <c r="G219" s="559">
        <v>271</v>
      </c>
      <c r="H219" s="560">
        <v>271</v>
      </c>
      <c r="I219" s="561">
        <f t="shared" si="374"/>
        <v>1</v>
      </c>
      <c r="J219" s="562">
        <f t="shared" si="375"/>
        <v>1</v>
      </c>
      <c r="K219" s="558">
        <v>223</v>
      </c>
      <c r="L219" s="559">
        <v>223</v>
      </c>
      <c r="M219" s="559">
        <v>223</v>
      </c>
      <c r="N219" s="559">
        <v>223</v>
      </c>
      <c r="O219" s="560">
        <v>200</v>
      </c>
      <c r="P219" s="561">
        <f t="shared" si="376"/>
        <v>1</v>
      </c>
      <c r="Q219" s="562">
        <f t="shared" si="377"/>
        <v>1</v>
      </c>
      <c r="R219" s="558">
        <v>195</v>
      </c>
      <c r="S219" s="559">
        <v>188</v>
      </c>
      <c r="T219" s="559">
        <v>173</v>
      </c>
      <c r="U219" s="559">
        <v>173</v>
      </c>
      <c r="V219" s="560">
        <v>153</v>
      </c>
      <c r="W219" s="561">
        <f t="shared" si="372"/>
        <v>0.92021276595744683</v>
      </c>
      <c r="X219" s="562">
        <f t="shared" si="373"/>
        <v>1</v>
      </c>
      <c r="Y219" s="558">
        <v>189</v>
      </c>
      <c r="Z219" s="559">
        <v>188</v>
      </c>
      <c r="AA219" s="559">
        <v>171</v>
      </c>
      <c r="AB219" s="559">
        <v>170</v>
      </c>
      <c r="AC219" s="560">
        <v>159</v>
      </c>
      <c r="AD219" s="561">
        <f t="shared" si="378"/>
        <v>0.9042553191489362</v>
      </c>
      <c r="AE219" s="562">
        <f t="shared" si="379"/>
        <v>0.99415204678362568</v>
      </c>
      <c r="AF219" s="558">
        <v>183</v>
      </c>
      <c r="AG219" s="559">
        <v>182</v>
      </c>
      <c r="AH219" s="559">
        <v>176</v>
      </c>
      <c r="AI219" s="559">
        <v>176</v>
      </c>
      <c r="AJ219" s="560">
        <v>162</v>
      </c>
      <c r="AK219" s="561">
        <f t="shared" si="380"/>
        <v>0.96703296703296704</v>
      </c>
      <c r="AL219" s="562">
        <f t="shared" si="381"/>
        <v>1</v>
      </c>
      <c r="AM219" s="558">
        <v>148</v>
      </c>
      <c r="AN219" s="559">
        <v>148</v>
      </c>
      <c r="AO219" s="559">
        <v>148</v>
      </c>
      <c r="AP219" s="559">
        <v>148</v>
      </c>
      <c r="AQ219" s="560">
        <v>148</v>
      </c>
      <c r="AR219" s="561">
        <f t="shared" si="382"/>
        <v>1</v>
      </c>
      <c r="AS219" s="562">
        <f t="shared" si="383"/>
        <v>1</v>
      </c>
      <c r="AT219" s="558">
        <v>141</v>
      </c>
      <c r="AU219" s="559">
        <v>140</v>
      </c>
      <c r="AV219" s="559">
        <v>140</v>
      </c>
      <c r="AW219" s="559">
        <v>140</v>
      </c>
      <c r="AX219" s="560">
        <v>137</v>
      </c>
      <c r="AY219" s="561">
        <f t="shared" si="384"/>
        <v>1</v>
      </c>
      <c r="AZ219" s="562">
        <f t="shared" si="385"/>
        <v>1</v>
      </c>
      <c r="BA219" s="558">
        <v>145</v>
      </c>
      <c r="BB219" s="559">
        <v>145</v>
      </c>
      <c r="BC219" s="559">
        <v>145</v>
      </c>
      <c r="BD219" s="559">
        <v>129</v>
      </c>
      <c r="BE219" s="560">
        <v>126</v>
      </c>
      <c r="BF219" s="561">
        <f t="shared" si="386"/>
        <v>0.8896551724137931</v>
      </c>
      <c r="BG219" s="562">
        <f t="shared" si="387"/>
        <v>0.8896551724137931</v>
      </c>
      <c r="BH219" s="558">
        <v>162</v>
      </c>
      <c r="BI219" s="559">
        <v>162</v>
      </c>
      <c r="BJ219" s="559">
        <v>162</v>
      </c>
      <c r="BK219" s="559">
        <v>162</v>
      </c>
      <c r="BL219" s="560">
        <v>162</v>
      </c>
      <c r="BM219" s="561">
        <f t="shared" si="388"/>
        <v>1</v>
      </c>
      <c r="BN219" s="562">
        <f t="shared" si="389"/>
        <v>1</v>
      </c>
      <c r="BO219" s="558">
        <v>130</v>
      </c>
      <c r="BP219" s="559">
        <v>129</v>
      </c>
      <c r="BQ219" s="559">
        <v>128</v>
      </c>
      <c r="BR219" s="559">
        <v>127</v>
      </c>
      <c r="BS219" s="560">
        <v>127</v>
      </c>
      <c r="BT219" s="561">
        <f t="shared" si="390"/>
        <v>0.98449612403100772</v>
      </c>
      <c r="BU219" s="562">
        <f t="shared" si="391"/>
        <v>0.9921875</v>
      </c>
      <c r="BV219" s="558">
        <v>74</v>
      </c>
      <c r="BW219" s="559">
        <v>74</v>
      </c>
      <c r="BX219" s="559">
        <v>72</v>
      </c>
      <c r="BY219" s="559">
        <v>71</v>
      </c>
      <c r="BZ219" s="560">
        <v>71</v>
      </c>
      <c r="CA219" s="561">
        <f t="shared" si="392"/>
        <v>0.95945945945945943</v>
      </c>
      <c r="CB219" s="562">
        <f t="shared" si="393"/>
        <v>0.98611111111111116</v>
      </c>
      <c r="CC219" s="558">
        <v>147</v>
      </c>
      <c r="CD219" s="559">
        <v>146</v>
      </c>
      <c r="CE219" s="559">
        <v>145</v>
      </c>
      <c r="CF219" s="559">
        <v>145</v>
      </c>
      <c r="CG219" s="560">
        <v>142</v>
      </c>
      <c r="CH219" s="561">
        <f t="shared" si="394"/>
        <v>0.99315068493150682</v>
      </c>
      <c r="CI219" s="562">
        <f t="shared" si="395"/>
        <v>1</v>
      </c>
      <c r="CJ219" s="558">
        <v>108</v>
      </c>
      <c r="CK219" s="559">
        <v>108</v>
      </c>
      <c r="CL219" s="559">
        <v>107</v>
      </c>
      <c r="CM219" s="559">
        <v>107</v>
      </c>
      <c r="CN219" s="560">
        <v>101</v>
      </c>
      <c r="CO219" s="561">
        <f t="shared" si="396"/>
        <v>0.9907407407407407</v>
      </c>
      <c r="CP219" s="664">
        <f t="shared" si="397"/>
        <v>1</v>
      </c>
      <c r="CQ219" s="561">
        <v>0.9907407407407407</v>
      </c>
      <c r="CR219" s="562">
        <v>1</v>
      </c>
      <c r="CS219" s="558">
        <v>81</v>
      </c>
      <c r="CT219" s="559">
        <v>81</v>
      </c>
      <c r="CU219" s="559">
        <v>81</v>
      </c>
      <c r="CV219" s="559">
        <v>81</v>
      </c>
      <c r="CW219" s="560">
        <v>81</v>
      </c>
      <c r="CX219" s="561">
        <f t="shared" si="398"/>
        <v>1</v>
      </c>
      <c r="CY219" s="664">
        <f t="shared" si="399"/>
        <v>1</v>
      </c>
      <c r="CZ219" s="561">
        <v>1</v>
      </c>
      <c r="DA219" s="562">
        <v>1</v>
      </c>
      <c r="DB219" s="558">
        <v>145</v>
      </c>
      <c r="DC219" s="559">
        <v>138</v>
      </c>
      <c r="DD219" s="559">
        <v>138</v>
      </c>
      <c r="DE219" s="559">
        <v>99</v>
      </c>
      <c r="DF219" s="560">
        <v>98</v>
      </c>
      <c r="DG219" s="561">
        <f t="shared" si="400"/>
        <v>0.71739130434782605</v>
      </c>
      <c r="DH219" s="664">
        <f t="shared" si="401"/>
        <v>0.71739130434782605</v>
      </c>
      <c r="DI219" s="561">
        <v>0.71739130434782605</v>
      </c>
      <c r="DJ219" s="562">
        <v>0.71739130434782605</v>
      </c>
      <c r="DK219" s="558">
        <v>142</v>
      </c>
      <c r="DL219" s="559">
        <v>137</v>
      </c>
      <c r="DM219" s="559">
        <v>137</v>
      </c>
      <c r="DN219" s="559">
        <v>90</v>
      </c>
      <c r="DO219" s="560">
        <v>90</v>
      </c>
      <c r="DP219" s="561">
        <f t="shared" si="402"/>
        <v>0.65693430656934304</v>
      </c>
      <c r="DQ219" s="664">
        <f t="shared" si="403"/>
        <v>0.65693430656934304</v>
      </c>
      <c r="DR219" s="561">
        <v>0.65693430656934304</v>
      </c>
      <c r="DS219" s="562">
        <v>0.65693430656934304</v>
      </c>
      <c r="DT219" s="558">
        <v>169</v>
      </c>
      <c r="DU219" s="559">
        <v>164</v>
      </c>
      <c r="DV219" s="559">
        <v>164</v>
      </c>
      <c r="DW219" s="559">
        <v>107</v>
      </c>
      <c r="DX219" s="560">
        <v>107</v>
      </c>
      <c r="DY219" s="561">
        <f t="shared" si="404"/>
        <v>0.65243902439024393</v>
      </c>
      <c r="DZ219" s="664">
        <f t="shared" si="405"/>
        <v>0.65243902439024393</v>
      </c>
      <c r="EA219" s="561">
        <v>0.65243902439024393</v>
      </c>
      <c r="EB219" s="562">
        <v>0.65243902439024393</v>
      </c>
    </row>
    <row r="220" spans="1:132" s="2" customFormat="1" x14ac:dyDescent="0.25">
      <c r="A220" s="578" t="s">
        <v>572</v>
      </c>
      <c r="B220" s="489" t="s">
        <v>503</v>
      </c>
      <c r="C220" s="565" t="s">
        <v>199</v>
      </c>
      <c r="D220" s="558">
        <v>161</v>
      </c>
      <c r="E220" s="559">
        <v>161</v>
      </c>
      <c r="F220" s="559">
        <v>135</v>
      </c>
      <c r="G220" s="559">
        <v>135</v>
      </c>
      <c r="H220" s="559">
        <v>106</v>
      </c>
      <c r="I220" s="561">
        <f t="shared" si="374"/>
        <v>0.83850931677018636</v>
      </c>
      <c r="J220" s="562">
        <f t="shared" si="375"/>
        <v>1</v>
      </c>
      <c r="K220" s="558">
        <v>148</v>
      </c>
      <c r="L220" s="559">
        <v>148</v>
      </c>
      <c r="M220" s="559">
        <v>121</v>
      </c>
      <c r="N220" s="559">
        <v>121</v>
      </c>
      <c r="O220" s="559">
        <v>111</v>
      </c>
      <c r="P220" s="561">
        <f t="shared" si="376"/>
        <v>0.81756756756756754</v>
      </c>
      <c r="Q220" s="562">
        <f t="shared" si="377"/>
        <v>1</v>
      </c>
      <c r="R220" s="558">
        <v>121</v>
      </c>
      <c r="S220" s="559">
        <v>118</v>
      </c>
      <c r="T220" s="559">
        <v>104</v>
      </c>
      <c r="U220" s="559">
        <v>104</v>
      </c>
      <c r="V220" s="559">
        <v>101</v>
      </c>
      <c r="W220" s="561">
        <f t="shared" si="372"/>
        <v>0.88135593220338981</v>
      </c>
      <c r="X220" s="562">
        <f t="shared" si="373"/>
        <v>1</v>
      </c>
      <c r="Y220" s="558">
        <v>319</v>
      </c>
      <c r="Z220" s="559">
        <v>310</v>
      </c>
      <c r="AA220" s="559">
        <v>301</v>
      </c>
      <c r="AB220" s="559">
        <v>300</v>
      </c>
      <c r="AC220" s="559">
        <v>261</v>
      </c>
      <c r="AD220" s="561">
        <f t="shared" si="378"/>
        <v>0.967741935483871</v>
      </c>
      <c r="AE220" s="562">
        <f t="shared" si="379"/>
        <v>0.99667774086378735</v>
      </c>
      <c r="AF220" s="558">
        <v>350</v>
      </c>
      <c r="AG220" s="559">
        <v>348</v>
      </c>
      <c r="AH220" s="559">
        <v>327</v>
      </c>
      <c r="AI220" s="559">
        <v>325</v>
      </c>
      <c r="AJ220" s="559">
        <v>314</v>
      </c>
      <c r="AK220" s="561">
        <f t="shared" si="380"/>
        <v>0.93390804597701149</v>
      </c>
      <c r="AL220" s="562">
        <f t="shared" si="381"/>
        <v>0.99388379204892963</v>
      </c>
      <c r="AM220" s="558">
        <v>341</v>
      </c>
      <c r="AN220" s="559">
        <v>336</v>
      </c>
      <c r="AO220" s="559">
        <v>311</v>
      </c>
      <c r="AP220" s="559">
        <v>304</v>
      </c>
      <c r="AQ220" s="559">
        <v>275</v>
      </c>
      <c r="AR220" s="561">
        <f t="shared" si="382"/>
        <v>0.90476190476190477</v>
      </c>
      <c r="AS220" s="562">
        <f t="shared" si="383"/>
        <v>0.977491961414791</v>
      </c>
      <c r="AT220" s="558">
        <v>341</v>
      </c>
      <c r="AU220" s="559">
        <v>340</v>
      </c>
      <c r="AV220" s="559">
        <v>315</v>
      </c>
      <c r="AW220" s="559">
        <v>315</v>
      </c>
      <c r="AX220" s="559">
        <v>280</v>
      </c>
      <c r="AY220" s="561">
        <f t="shared" si="384"/>
        <v>0.92647058823529416</v>
      </c>
      <c r="AZ220" s="562">
        <f t="shared" si="385"/>
        <v>1</v>
      </c>
      <c r="BA220" s="558">
        <v>294</v>
      </c>
      <c r="BB220" s="559">
        <v>290</v>
      </c>
      <c r="BC220" s="559">
        <v>269</v>
      </c>
      <c r="BD220" s="559">
        <v>268</v>
      </c>
      <c r="BE220" s="559">
        <v>228</v>
      </c>
      <c r="BF220" s="561">
        <f t="shared" si="386"/>
        <v>0.92413793103448272</v>
      </c>
      <c r="BG220" s="562">
        <f t="shared" si="387"/>
        <v>0.99628252788104088</v>
      </c>
      <c r="BH220" s="558">
        <v>317</v>
      </c>
      <c r="BI220" s="559">
        <v>317</v>
      </c>
      <c r="BJ220" s="559">
        <v>304</v>
      </c>
      <c r="BK220" s="559">
        <v>302</v>
      </c>
      <c r="BL220" s="559">
        <v>272</v>
      </c>
      <c r="BM220" s="561">
        <f t="shared" si="388"/>
        <v>0.95268138801261826</v>
      </c>
      <c r="BN220" s="562">
        <f t="shared" si="389"/>
        <v>0.99342105263157898</v>
      </c>
      <c r="BO220" s="558">
        <v>253</v>
      </c>
      <c r="BP220" s="559">
        <v>250</v>
      </c>
      <c r="BQ220" s="559">
        <v>249</v>
      </c>
      <c r="BR220" s="559">
        <v>247</v>
      </c>
      <c r="BS220" s="559">
        <v>223</v>
      </c>
      <c r="BT220" s="561">
        <f t="shared" si="390"/>
        <v>0.98799999999999999</v>
      </c>
      <c r="BU220" s="562">
        <f t="shared" si="391"/>
        <v>0.99196787148594379</v>
      </c>
      <c r="BV220" s="558">
        <v>204</v>
      </c>
      <c r="BW220" s="559">
        <v>201</v>
      </c>
      <c r="BX220" s="559">
        <v>201</v>
      </c>
      <c r="BY220" s="559">
        <v>201</v>
      </c>
      <c r="BZ220" s="559">
        <v>197</v>
      </c>
      <c r="CA220" s="561">
        <f t="shared" si="392"/>
        <v>1</v>
      </c>
      <c r="CB220" s="562">
        <f t="shared" si="393"/>
        <v>1</v>
      </c>
      <c r="CC220" s="558">
        <v>332</v>
      </c>
      <c r="CD220" s="559">
        <v>330</v>
      </c>
      <c r="CE220" s="559">
        <v>330</v>
      </c>
      <c r="CF220" s="559">
        <v>330</v>
      </c>
      <c r="CG220" s="559">
        <v>234</v>
      </c>
      <c r="CH220" s="561">
        <f t="shared" si="394"/>
        <v>1</v>
      </c>
      <c r="CI220" s="562">
        <f t="shared" si="395"/>
        <v>1</v>
      </c>
      <c r="CJ220" s="558">
        <v>651</v>
      </c>
      <c r="CK220" s="559">
        <v>607</v>
      </c>
      <c r="CL220" s="559">
        <v>548</v>
      </c>
      <c r="CM220" s="559">
        <v>520</v>
      </c>
      <c r="CN220" s="559">
        <v>390</v>
      </c>
      <c r="CO220" s="561">
        <f t="shared" si="396"/>
        <v>0.85667215815485998</v>
      </c>
      <c r="CP220" s="561">
        <f t="shared" si="397"/>
        <v>0.94890510948905105</v>
      </c>
      <c r="CQ220" s="561">
        <v>0.86326194398682043</v>
      </c>
      <c r="CR220" s="562">
        <v>0.95620437956204385</v>
      </c>
      <c r="CS220" s="558">
        <v>733</v>
      </c>
      <c r="CT220" s="559">
        <v>676</v>
      </c>
      <c r="CU220" s="559">
        <v>586</v>
      </c>
      <c r="CV220" s="559">
        <v>533</v>
      </c>
      <c r="CW220" s="559">
        <v>383</v>
      </c>
      <c r="CX220" s="561">
        <f t="shared" si="398"/>
        <v>0.78846153846153844</v>
      </c>
      <c r="CY220" s="561">
        <f t="shared" si="399"/>
        <v>0.90955631399317405</v>
      </c>
      <c r="CZ220" s="561">
        <v>0.81360946745562135</v>
      </c>
      <c r="DA220" s="562">
        <v>0.93856655290102387</v>
      </c>
      <c r="DB220" s="558">
        <v>793</v>
      </c>
      <c r="DC220" s="559">
        <v>740</v>
      </c>
      <c r="DD220" s="559">
        <v>652</v>
      </c>
      <c r="DE220" s="559">
        <v>578</v>
      </c>
      <c r="DF220" s="559">
        <v>435</v>
      </c>
      <c r="DG220" s="561">
        <f t="shared" si="400"/>
        <v>0.7810810810810811</v>
      </c>
      <c r="DH220" s="561">
        <f t="shared" si="401"/>
        <v>0.88650306748466257</v>
      </c>
      <c r="DI220" s="561">
        <v>0.80810810810810807</v>
      </c>
      <c r="DJ220" s="562">
        <v>0.91717791411042948</v>
      </c>
      <c r="DK220" s="558">
        <v>878</v>
      </c>
      <c r="DL220" s="559">
        <v>816</v>
      </c>
      <c r="DM220" s="559">
        <v>727</v>
      </c>
      <c r="DN220" s="559">
        <v>649</v>
      </c>
      <c r="DO220" s="559">
        <v>501</v>
      </c>
      <c r="DP220" s="561">
        <f t="shared" si="402"/>
        <v>0.79534313725490191</v>
      </c>
      <c r="DQ220" s="561">
        <f t="shared" si="403"/>
        <v>0.8927097661623109</v>
      </c>
      <c r="DR220" s="561">
        <v>0.81127450980392157</v>
      </c>
      <c r="DS220" s="562">
        <v>0.91059147180192568</v>
      </c>
      <c r="DT220" s="558">
        <v>1082</v>
      </c>
      <c r="DU220" s="559">
        <v>966</v>
      </c>
      <c r="DV220" s="559">
        <v>848</v>
      </c>
      <c r="DW220" s="559">
        <v>712</v>
      </c>
      <c r="DX220" s="559">
        <v>524</v>
      </c>
      <c r="DY220" s="561">
        <f t="shared" si="404"/>
        <v>0.73706004140786752</v>
      </c>
      <c r="DZ220" s="561">
        <f t="shared" si="405"/>
        <v>0.839622641509434</v>
      </c>
      <c r="EA220" s="561">
        <v>0.76190476190476186</v>
      </c>
      <c r="EB220" s="562">
        <v>0.86792452830188682</v>
      </c>
    </row>
    <row r="221" spans="1:132" s="2" customFormat="1" x14ac:dyDescent="0.25">
      <c r="A221" s="578" t="s">
        <v>504</v>
      </c>
      <c r="B221" s="489" t="s">
        <v>505</v>
      </c>
      <c r="C221" s="565" t="s">
        <v>199</v>
      </c>
      <c r="D221" s="558">
        <v>79</v>
      </c>
      <c r="E221" s="559">
        <v>79</v>
      </c>
      <c r="F221" s="559">
        <v>79</v>
      </c>
      <c r="G221" s="559">
        <v>73</v>
      </c>
      <c r="H221" s="559">
        <v>65</v>
      </c>
      <c r="I221" s="561">
        <f t="shared" si="374"/>
        <v>0.92405063291139244</v>
      </c>
      <c r="J221" s="562">
        <f t="shared" si="375"/>
        <v>0.92405063291139244</v>
      </c>
      <c r="K221" s="558">
        <v>225</v>
      </c>
      <c r="L221" s="559">
        <v>223</v>
      </c>
      <c r="M221" s="559">
        <v>173</v>
      </c>
      <c r="N221" s="559">
        <v>173</v>
      </c>
      <c r="O221" s="559">
        <v>150</v>
      </c>
      <c r="P221" s="561">
        <f t="shared" si="376"/>
        <v>0.77578475336322872</v>
      </c>
      <c r="Q221" s="562">
        <f t="shared" si="377"/>
        <v>1</v>
      </c>
      <c r="R221" s="558">
        <v>257</v>
      </c>
      <c r="S221" s="559">
        <v>255</v>
      </c>
      <c r="T221" s="559">
        <v>255</v>
      </c>
      <c r="U221" s="559">
        <v>182</v>
      </c>
      <c r="V221" s="559">
        <v>142</v>
      </c>
      <c r="W221" s="561">
        <f t="shared" si="372"/>
        <v>0.71372549019607845</v>
      </c>
      <c r="X221" s="562">
        <f t="shared" si="373"/>
        <v>0.71372549019607845</v>
      </c>
      <c r="Y221" s="558">
        <v>154</v>
      </c>
      <c r="Z221" s="559">
        <v>153</v>
      </c>
      <c r="AA221" s="559">
        <v>125</v>
      </c>
      <c r="AB221" s="559">
        <v>125</v>
      </c>
      <c r="AC221" s="559">
        <v>114</v>
      </c>
      <c r="AD221" s="561">
        <f t="shared" si="378"/>
        <v>0.81699346405228757</v>
      </c>
      <c r="AE221" s="562">
        <f t="shared" si="379"/>
        <v>1</v>
      </c>
      <c r="AF221" s="558">
        <v>99</v>
      </c>
      <c r="AG221" s="559">
        <v>95</v>
      </c>
      <c r="AH221" s="559">
        <v>95</v>
      </c>
      <c r="AI221" s="559">
        <v>85</v>
      </c>
      <c r="AJ221" s="559">
        <v>74</v>
      </c>
      <c r="AK221" s="561">
        <f t="shared" si="380"/>
        <v>0.89473684210526316</v>
      </c>
      <c r="AL221" s="562">
        <f t="shared" si="381"/>
        <v>0.89473684210526316</v>
      </c>
      <c r="AM221" s="558">
        <v>123</v>
      </c>
      <c r="AN221" s="559">
        <v>122</v>
      </c>
      <c r="AO221" s="559">
        <v>122</v>
      </c>
      <c r="AP221" s="559">
        <v>100</v>
      </c>
      <c r="AQ221" s="559">
        <v>89</v>
      </c>
      <c r="AR221" s="561">
        <f t="shared" si="382"/>
        <v>0.81967213114754101</v>
      </c>
      <c r="AS221" s="562">
        <f t="shared" si="383"/>
        <v>0.81967213114754101</v>
      </c>
      <c r="AT221" s="558">
        <v>103</v>
      </c>
      <c r="AU221" s="559">
        <v>100</v>
      </c>
      <c r="AV221" s="559">
        <v>100</v>
      </c>
      <c r="AW221" s="559">
        <v>81</v>
      </c>
      <c r="AX221" s="559">
        <v>63</v>
      </c>
      <c r="AY221" s="561">
        <f t="shared" si="384"/>
        <v>0.81</v>
      </c>
      <c r="AZ221" s="562">
        <f t="shared" si="385"/>
        <v>0.81</v>
      </c>
      <c r="BA221" s="558">
        <v>51</v>
      </c>
      <c r="BB221" s="559">
        <v>51</v>
      </c>
      <c r="BC221" s="559">
        <v>51</v>
      </c>
      <c r="BD221" s="559">
        <v>42</v>
      </c>
      <c r="BE221" s="559">
        <v>37</v>
      </c>
      <c r="BF221" s="561">
        <f t="shared" si="386"/>
        <v>0.82352941176470584</v>
      </c>
      <c r="BG221" s="562">
        <f t="shared" si="387"/>
        <v>0.82352941176470584</v>
      </c>
      <c r="BH221" s="558">
        <v>25</v>
      </c>
      <c r="BI221" s="559">
        <v>25</v>
      </c>
      <c r="BJ221" s="559">
        <v>25</v>
      </c>
      <c r="BK221" s="559">
        <v>14</v>
      </c>
      <c r="BL221" s="559">
        <v>10</v>
      </c>
      <c r="BM221" s="561">
        <f t="shared" si="388"/>
        <v>0.56000000000000005</v>
      </c>
      <c r="BN221" s="562">
        <f t="shared" si="389"/>
        <v>0.56000000000000005</v>
      </c>
      <c r="BO221" s="558">
        <v>620</v>
      </c>
      <c r="BP221" s="559">
        <v>591</v>
      </c>
      <c r="BQ221" s="559">
        <v>591</v>
      </c>
      <c r="BR221" s="559">
        <v>514</v>
      </c>
      <c r="BS221" s="559">
        <v>467</v>
      </c>
      <c r="BT221" s="561">
        <f t="shared" si="390"/>
        <v>0.8697123519458545</v>
      </c>
      <c r="BU221" s="562">
        <f t="shared" si="391"/>
        <v>0.8697123519458545</v>
      </c>
      <c r="BV221" s="558" t="s">
        <v>67</v>
      </c>
      <c r="BW221" s="559" t="s">
        <v>67</v>
      </c>
      <c r="BX221" s="559" t="s">
        <v>67</v>
      </c>
      <c r="BY221" s="559" t="s">
        <v>67</v>
      </c>
      <c r="BZ221" s="559" t="s">
        <v>67</v>
      </c>
      <c r="CA221" s="561" t="s">
        <v>67</v>
      </c>
      <c r="CB221" s="562" t="s">
        <v>67</v>
      </c>
      <c r="CC221" s="558" t="s">
        <v>67</v>
      </c>
      <c r="CD221" s="559" t="s">
        <v>67</v>
      </c>
      <c r="CE221" s="559" t="s">
        <v>67</v>
      </c>
      <c r="CF221" s="559" t="s">
        <v>67</v>
      </c>
      <c r="CG221" s="560" t="s">
        <v>67</v>
      </c>
      <c r="CH221" s="561" t="s">
        <v>67</v>
      </c>
      <c r="CI221" s="562" t="s">
        <v>67</v>
      </c>
      <c r="CJ221" s="558" t="s">
        <v>67</v>
      </c>
      <c r="CK221" s="559" t="s">
        <v>67</v>
      </c>
      <c r="CL221" s="559" t="s">
        <v>67</v>
      </c>
      <c r="CM221" s="559" t="s">
        <v>67</v>
      </c>
      <c r="CN221" s="560" t="s">
        <v>67</v>
      </c>
      <c r="CO221" s="561" t="s">
        <v>67</v>
      </c>
      <c r="CP221" s="664" t="s">
        <v>67</v>
      </c>
      <c r="CQ221" s="561" t="s">
        <v>67</v>
      </c>
      <c r="CR221" s="562" t="s">
        <v>67</v>
      </c>
      <c r="CS221" s="558" t="s">
        <v>67</v>
      </c>
      <c r="CT221" s="559" t="s">
        <v>67</v>
      </c>
      <c r="CU221" s="559" t="s">
        <v>67</v>
      </c>
      <c r="CV221" s="559" t="s">
        <v>67</v>
      </c>
      <c r="CW221" s="560" t="s">
        <v>67</v>
      </c>
      <c r="CX221" s="561" t="s">
        <v>67</v>
      </c>
      <c r="CY221" s="664" t="s">
        <v>67</v>
      </c>
      <c r="CZ221" s="561" t="s">
        <v>67</v>
      </c>
      <c r="DA221" s="562" t="s">
        <v>67</v>
      </c>
      <c r="DB221" s="558" t="s">
        <v>67</v>
      </c>
      <c r="DC221" s="559" t="s">
        <v>67</v>
      </c>
      <c r="DD221" s="559" t="s">
        <v>67</v>
      </c>
      <c r="DE221" s="559" t="s">
        <v>67</v>
      </c>
      <c r="DF221" s="560" t="s">
        <v>67</v>
      </c>
      <c r="DG221" s="561" t="s">
        <v>67</v>
      </c>
      <c r="DH221" s="664" t="s">
        <v>67</v>
      </c>
      <c r="DI221" s="561" t="s">
        <v>67</v>
      </c>
      <c r="DJ221" s="562" t="s">
        <v>67</v>
      </c>
      <c r="DK221" s="558" t="s">
        <v>67</v>
      </c>
      <c r="DL221" s="559" t="s">
        <v>67</v>
      </c>
      <c r="DM221" s="559" t="s">
        <v>67</v>
      </c>
      <c r="DN221" s="559" t="s">
        <v>67</v>
      </c>
      <c r="DO221" s="560" t="s">
        <v>67</v>
      </c>
      <c r="DP221" s="561" t="s">
        <v>67</v>
      </c>
      <c r="DQ221" s="664" t="s">
        <v>67</v>
      </c>
      <c r="DR221" s="561" t="s">
        <v>67</v>
      </c>
      <c r="DS221" s="562" t="s">
        <v>67</v>
      </c>
      <c r="DT221" s="558" t="s">
        <v>67</v>
      </c>
      <c r="DU221" s="559" t="s">
        <v>67</v>
      </c>
      <c r="DV221" s="559" t="s">
        <v>67</v>
      </c>
      <c r="DW221" s="559" t="s">
        <v>67</v>
      </c>
      <c r="DX221" s="560" t="s">
        <v>67</v>
      </c>
      <c r="DY221" s="561" t="s">
        <v>67</v>
      </c>
      <c r="DZ221" s="664" t="s">
        <v>67</v>
      </c>
      <c r="EA221" s="561" t="s">
        <v>67</v>
      </c>
      <c r="EB221" s="562" t="s">
        <v>67</v>
      </c>
    </row>
    <row r="222" spans="1:132" s="2" customFormat="1" x14ac:dyDescent="0.25">
      <c r="A222" s="577" t="s">
        <v>615</v>
      </c>
      <c r="B222" s="489" t="s">
        <v>614</v>
      </c>
      <c r="C222" s="565" t="s">
        <v>199</v>
      </c>
      <c r="D222" s="535" t="s">
        <v>67</v>
      </c>
      <c r="E222" s="521" t="s">
        <v>67</v>
      </c>
      <c r="F222" s="521" t="s">
        <v>67</v>
      </c>
      <c r="G222" s="521" t="s">
        <v>67</v>
      </c>
      <c r="H222" s="522" t="s">
        <v>67</v>
      </c>
      <c r="I222" s="523" t="s">
        <v>67</v>
      </c>
      <c r="J222" s="524" t="s">
        <v>67</v>
      </c>
      <c r="K222" s="535" t="s">
        <v>67</v>
      </c>
      <c r="L222" s="521" t="s">
        <v>67</v>
      </c>
      <c r="M222" s="521" t="s">
        <v>67</v>
      </c>
      <c r="N222" s="521" t="s">
        <v>67</v>
      </c>
      <c r="O222" s="522" t="s">
        <v>67</v>
      </c>
      <c r="P222" s="523" t="s">
        <v>67</v>
      </c>
      <c r="Q222" s="524" t="s">
        <v>67</v>
      </c>
      <c r="R222" s="535" t="s">
        <v>67</v>
      </c>
      <c r="S222" s="521" t="s">
        <v>67</v>
      </c>
      <c r="T222" s="521" t="s">
        <v>67</v>
      </c>
      <c r="U222" s="521" t="s">
        <v>67</v>
      </c>
      <c r="V222" s="522" t="s">
        <v>67</v>
      </c>
      <c r="W222" s="523" t="s">
        <v>67</v>
      </c>
      <c r="X222" s="524" t="s">
        <v>67</v>
      </c>
      <c r="Y222" s="535" t="s">
        <v>67</v>
      </c>
      <c r="Z222" s="521" t="s">
        <v>67</v>
      </c>
      <c r="AA222" s="521" t="s">
        <v>67</v>
      </c>
      <c r="AB222" s="521" t="s">
        <v>67</v>
      </c>
      <c r="AC222" s="522" t="s">
        <v>67</v>
      </c>
      <c r="AD222" s="523" t="s">
        <v>67</v>
      </c>
      <c r="AE222" s="524" t="s">
        <v>67</v>
      </c>
      <c r="AF222" s="535" t="s">
        <v>67</v>
      </c>
      <c r="AG222" s="521" t="s">
        <v>67</v>
      </c>
      <c r="AH222" s="521" t="s">
        <v>67</v>
      </c>
      <c r="AI222" s="521" t="s">
        <v>67</v>
      </c>
      <c r="AJ222" s="522" t="s">
        <v>67</v>
      </c>
      <c r="AK222" s="523" t="s">
        <v>67</v>
      </c>
      <c r="AL222" s="524" t="s">
        <v>67</v>
      </c>
      <c r="AM222" s="535" t="s">
        <v>67</v>
      </c>
      <c r="AN222" s="521" t="s">
        <v>67</v>
      </c>
      <c r="AO222" s="521" t="s">
        <v>67</v>
      </c>
      <c r="AP222" s="521" t="s">
        <v>67</v>
      </c>
      <c r="AQ222" s="522" t="s">
        <v>67</v>
      </c>
      <c r="AR222" s="523" t="s">
        <v>67</v>
      </c>
      <c r="AS222" s="524" t="s">
        <v>67</v>
      </c>
      <c r="AT222" s="535" t="s">
        <v>67</v>
      </c>
      <c r="AU222" s="521" t="s">
        <v>67</v>
      </c>
      <c r="AV222" s="521" t="s">
        <v>67</v>
      </c>
      <c r="AW222" s="521" t="s">
        <v>67</v>
      </c>
      <c r="AX222" s="522" t="s">
        <v>67</v>
      </c>
      <c r="AY222" s="523" t="s">
        <v>67</v>
      </c>
      <c r="AZ222" s="524" t="s">
        <v>67</v>
      </c>
      <c r="BA222" s="535" t="s">
        <v>67</v>
      </c>
      <c r="BB222" s="521" t="s">
        <v>67</v>
      </c>
      <c r="BC222" s="521" t="s">
        <v>67</v>
      </c>
      <c r="BD222" s="521" t="s">
        <v>67</v>
      </c>
      <c r="BE222" s="522" t="s">
        <v>67</v>
      </c>
      <c r="BF222" s="523" t="s">
        <v>67</v>
      </c>
      <c r="BG222" s="524" t="s">
        <v>67</v>
      </c>
      <c r="BH222" s="535" t="s">
        <v>67</v>
      </c>
      <c r="BI222" s="521" t="s">
        <v>67</v>
      </c>
      <c r="BJ222" s="521" t="s">
        <v>67</v>
      </c>
      <c r="BK222" s="521" t="s">
        <v>67</v>
      </c>
      <c r="BL222" s="522" t="s">
        <v>67</v>
      </c>
      <c r="BM222" s="523" t="s">
        <v>67</v>
      </c>
      <c r="BN222" s="524" t="s">
        <v>67</v>
      </c>
      <c r="BO222" s="535" t="s">
        <v>67</v>
      </c>
      <c r="BP222" s="521" t="s">
        <v>67</v>
      </c>
      <c r="BQ222" s="521" t="s">
        <v>67</v>
      </c>
      <c r="BR222" s="521" t="s">
        <v>67</v>
      </c>
      <c r="BS222" s="522" t="s">
        <v>67</v>
      </c>
      <c r="BT222" s="523" t="s">
        <v>67</v>
      </c>
      <c r="BU222" s="524" t="s">
        <v>67</v>
      </c>
      <c r="BV222" s="535" t="s">
        <v>67</v>
      </c>
      <c r="BW222" s="521" t="s">
        <v>67</v>
      </c>
      <c r="BX222" s="521" t="s">
        <v>67</v>
      </c>
      <c r="BY222" s="521" t="s">
        <v>67</v>
      </c>
      <c r="BZ222" s="522" t="s">
        <v>67</v>
      </c>
      <c r="CA222" s="523" t="s">
        <v>67</v>
      </c>
      <c r="CB222" s="524" t="s">
        <v>67</v>
      </c>
      <c r="CC222" s="558" t="s">
        <v>67</v>
      </c>
      <c r="CD222" s="559" t="s">
        <v>67</v>
      </c>
      <c r="CE222" s="559" t="s">
        <v>67</v>
      </c>
      <c r="CF222" s="559" t="s">
        <v>67</v>
      </c>
      <c r="CG222" s="560" t="s">
        <v>67</v>
      </c>
      <c r="CH222" s="561" t="s">
        <v>67</v>
      </c>
      <c r="CI222" s="562" t="s">
        <v>67</v>
      </c>
      <c r="CJ222" s="558" t="s">
        <v>67</v>
      </c>
      <c r="CK222" s="559" t="s">
        <v>67</v>
      </c>
      <c r="CL222" s="559" t="s">
        <v>67</v>
      </c>
      <c r="CM222" s="559" t="s">
        <v>67</v>
      </c>
      <c r="CN222" s="560" t="s">
        <v>67</v>
      </c>
      <c r="CO222" s="561" t="s">
        <v>67</v>
      </c>
      <c r="CP222" s="664" t="s">
        <v>67</v>
      </c>
      <c r="CQ222" s="561" t="s">
        <v>67</v>
      </c>
      <c r="CR222" s="562" t="s">
        <v>67</v>
      </c>
      <c r="CS222" s="558" t="s">
        <v>67</v>
      </c>
      <c r="CT222" s="559" t="s">
        <v>67</v>
      </c>
      <c r="CU222" s="559" t="s">
        <v>67</v>
      </c>
      <c r="CV222" s="559" t="s">
        <v>67</v>
      </c>
      <c r="CW222" s="560" t="s">
        <v>67</v>
      </c>
      <c r="CX222" s="561" t="s">
        <v>67</v>
      </c>
      <c r="CY222" s="664" t="s">
        <v>67</v>
      </c>
      <c r="CZ222" s="561" t="s">
        <v>67</v>
      </c>
      <c r="DA222" s="562" t="s">
        <v>67</v>
      </c>
      <c r="DB222" s="558" t="s">
        <v>67</v>
      </c>
      <c r="DC222" s="559" t="s">
        <v>67</v>
      </c>
      <c r="DD222" s="559" t="s">
        <v>67</v>
      </c>
      <c r="DE222" s="559" t="s">
        <v>67</v>
      </c>
      <c r="DF222" s="560" t="s">
        <v>67</v>
      </c>
      <c r="DG222" s="561" t="s">
        <v>67</v>
      </c>
      <c r="DH222" s="664" t="s">
        <v>67</v>
      </c>
      <c r="DI222" s="561" t="s">
        <v>67</v>
      </c>
      <c r="DJ222" s="562" t="s">
        <v>67</v>
      </c>
      <c r="DK222" s="558">
        <v>7</v>
      </c>
      <c r="DL222" s="559">
        <v>7</v>
      </c>
      <c r="DM222" s="559">
        <v>7</v>
      </c>
      <c r="DN222" s="559">
        <v>7</v>
      </c>
      <c r="DO222" s="560">
        <v>6</v>
      </c>
      <c r="DP222" s="561" t="s">
        <v>67</v>
      </c>
      <c r="DQ222" s="664" t="s">
        <v>67</v>
      </c>
      <c r="DR222" s="561">
        <v>1</v>
      </c>
      <c r="DS222" s="562">
        <v>1</v>
      </c>
      <c r="DT222" s="558">
        <v>84</v>
      </c>
      <c r="DU222" s="559">
        <v>75</v>
      </c>
      <c r="DV222" s="559">
        <v>75</v>
      </c>
      <c r="DW222" s="559">
        <v>75</v>
      </c>
      <c r="DX222" s="560">
        <v>68</v>
      </c>
      <c r="DY222" s="561" t="s">
        <v>67</v>
      </c>
      <c r="DZ222" s="664" t="s">
        <v>67</v>
      </c>
      <c r="EA222" s="561">
        <v>1</v>
      </c>
      <c r="EB222" s="562">
        <v>1</v>
      </c>
    </row>
    <row r="223" spans="1:132" s="2" customFormat="1" ht="38.25" x14ac:dyDescent="0.25">
      <c r="A223" s="577" t="s">
        <v>506</v>
      </c>
      <c r="B223" s="489" t="s">
        <v>507</v>
      </c>
      <c r="C223" s="565" t="s">
        <v>199</v>
      </c>
      <c r="D223" s="558">
        <v>30</v>
      </c>
      <c r="E223" s="559">
        <v>29</v>
      </c>
      <c r="F223" s="559">
        <v>22</v>
      </c>
      <c r="G223" s="559">
        <v>22</v>
      </c>
      <c r="H223" s="560">
        <v>22</v>
      </c>
      <c r="I223" s="561">
        <f t="shared" si="374"/>
        <v>0.75862068965517238</v>
      </c>
      <c r="J223" s="562">
        <f t="shared" si="375"/>
        <v>1</v>
      </c>
      <c r="K223" s="558">
        <v>2</v>
      </c>
      <c r="L223" s="559">
        <v>2</v>
      </c>
      <c r="M223" s="559">
        <v>2</v>
      </c>
      <c r="N223" s="559">
        <v>2</v>
      </c>
      <c r="O223" s="560">
        <v>2</v>
      </c>
      <c r="P223" s="561">
        <f t="shared" si="376"/>
        <v>1</v>
      </c>
      <c r="Q223" s="562">
        <f t="shared" si="377"/>
        <v>1</v>
      </c>
      <c r="R223" s="558">
        <v>14</v>
      </c>
      <c r="S223" s="559">
        <v>14</v>
      </c>
      <c r="T223" s="559">
        <v>11</v>
      </c>
      <c r="U223" s="559">
        <v>11</v>
      </c>
      <c r="V223" s="560">
        <v>7</v>
      </c>
      <c r="W223" s="561">
        <f t="shared" si="372"/>
        <v>0.7857142857142857</v>
      </c>
      <c r="X223" s="562">
        <f t="shared" si="373"/>
        <v>1</v>
      </c>
      <c r="Y223" s="558" t="s">
        <v>67</v>
      </c>
      <c r="Z223" s="559" t="s">
        <v>67</v>
      </c>
      <c r="AA223" s="559" t="s">
        <v>67</v>
      </c>
      <c r="AB223" s="559" t="s">
        <v>67</v>
      </c>
      <c r="AC223" s="560" t="s">
        <v>67</v>
      </c>
      <c r="AD223" s="561" t="s">
        <v>67</v>
      </c>
      <c r="AE223" s="562" t="s">
        <v>67</v>
      </c>
      <c r="AF223" s="558" t="s">
        <v>67</v>
      </c>
      <c r="AG223" s="559" t="s">
        <v>67</v>
      </c>
      <c r="AH223" s="559" t="s">
        <v>67</v>
      </c>
      <c r="AI223" s="559" t="s">
        <v>67</v>
      </c>
      <c r="AJ223" s="560" t="s">
        <v>67</v>
      </c>
      <c r="AK223" s="561" t="s">
        <v>67</v>
      </c>
      <c r="AL223" s="562" t="s">
        <v>67</v>
      </c>
      <c r="AM223" s="558" t="s">
        <v>67</v>
      </c>
      <c r="AN223" s="559" t="s">
        <v>67</v>
      </c>
      <c r="AO223" s="559" t="s">
        <v>67</v>
      </c>
      <c r="AP223" s="559" t="s">
        <v>67</v>
      </c>
      <c r="AQ223" s="560" t="s">
        <v>67</v>
      </c>
      <c r="AR223" s="561" t="s">
        <v>67</v>
      </c>
      <c r="AS223" s="562" t="s">
        <v>67</v>
      </c>
      <c r="AT223" s="558" t="s">
        <v>67</v>
      </c>
      <c r="AU223" s="559" t="s">
        <v>67</v>
      </c>
      <c r="AV223" s="559" t="s">
        <v>67</v>
      </c>
      <c r="AW223" s="559" t="s">
        <v>67</v>
      </c>
      <c r="AX223" s="560" t="s">
        <v>67</v>
      </c>
      <c r="AY223" s="561" t="s">
        <v>67</v>
      </c>
      <c r="AZ223" s="562" t="s">
        <v>67</v>
      </c>
      <c r="BA223" s="558" t="s">
        <v>67</v>
      </c>
      <c r="BB223" s="559" t="s">
        <v>67</v>
      </c>
      <c r="BC223" s="559" t="s">
        <v>67</v>
      </c>
      <c r="BD223" s="559" t="s">
        <v>67</v>
      </c>
      <c r="BE223" s="560" t="s">
        <v>67</v>
      </c>
      <c r="BF223" s="561" t="s">
        <v>67</v>
      </c>
      <c r="BG223" s="562" t="s">
        <v>67</v>
      </c>
      <c r="BH223" s="558" t="s">
        <v>67</v>
      </c>
      <c r="BI223" s="559" t="s">
        <v>67</v>
      </c>
      <c r="BJ223" s="559" t="s">
        <v>67</v>
      </c>
      <c r="BK223" s="559" t="s">
        <v>67</v>
      </c>
      <c r="BL223" s="560" t="s">
        <v>67</v>
      </c>
      <c r="BM223" s="561" t="s">
        <v>67</v>
      </c>
      <c r="BN223" s="562" t="s">
        <v>67</v>
      </c>
      <c r="BO223" s="558" t="s">
        <v>67</v>
      </c>
      <c r="BP223" s="559" t="s">
        <v>67</v>
      </c>
      <c r="BQ223" s="559" t="s">
        <v>67</v>
      </c>
      <c r="BR223" s="559" t="s">
        <v>67</v>
      </c>
      <c r="BS223" s="560" t="s">
        <v>67</v>
      </c>
      <c r="BT223" s="561" t="s">
        <v>67</v>
      </c>
      <c r="BU223" s="562" t="s">
        <v>67</v>
      </c>
      <c r="BV223" s="558" t="s">
        <v>67</v>
      </c>
      <c r="BW223" s="559" t="s">
        <v>67</v>
      </c>
      <c r="BX223" s="559" t="s">
        <v>67</v>
      </c>
      <c r="BY223" s="559" t="s">
        <v>67</v>
      </c>
      <c r="BZ223" s="560" t="s">
        <v>67</v>
      </c>
      <c r="CA223" s="561" t="s">
        <v>67</v>
      </c>
      <c r="CB223" s="562" t="s">
        <v>67</v>
      </c>
      <c r="CC223" s="558" t="s">
        <v>67</v>
      </c>
      <c r="CD223" s="559" t="s">
        <v>67</v>
      </c>
      <c r="CE223" s="559" t="s">
        <v>67</v>
      </c>
      <c r="CF223" s="559" t="s">
        <v>67</v>
      </c>
      <c r="CG223" s="560" t="s">
        <v>67</v>
      </c>
      <c r="CH223" s="561" t="s">
        <v>67</v>
      </c>
      <c r="CI223" s="562" t="s">
        <v>67</v>
      </c>
      <c r="CJ223" s="558" t="s">
        <v>67</v>
      </c>
      <c r="CK223" s="559" t="s">
        <v>67</v>
      </c>
      <c r="CL223" s="559" t="s">
        <v>67</v>
      </c>
      <c r="CM223" s="559" t="s">
        <v>67</v>
      </c>
      <c r="CN223" s="560" t="s">
        <v>67</v>
      </c>
      <c r="CO223" s="561" t="s">
        <v>67</v>
      </c>
      <c r="CP223" s="664" t="s">
        <v>67</v>
      </c>
      <c r="CQ223" s="561" t="s">
        <v>67</v>
      </c>
      <c r="CR223" s="562" t="s">
        <v>67</v>
      </c>
      <c r="CS223" s="558" t="s">
        <v>67</v>
      </c>
      <c r="CT223" s="559" t="s">
        <v>67</v>
      </c>
      <c r="CU223" s="559" t="s">
        <v>67</v>
      </c>
      <c r="CV223" s="559" t="s">
        <v>67</v>
      </c>
      <c r="CW223" s="560" t="s">
        <v>67</v>
      </c>
      <c r="CX223" s="561" t="s">
        <v>67</v>
      </c>
      <c r="CY223" s="664" t="s">
        <v>67</v>
      </c>
      <c r="CZ223" s="561" t="s">
        <v>67</v>
      </c>
      <c r="DA223" s="562" t="s">
        <v>67</v>
      </c>
      <c r="DB223" s="558" t="s">
        <v>67</v>
      </c>
      <c r="DC223" s="559" t="s">
        <v>67</v>
      </c>
      <c r="DD223" s="559" t="s">
        <v>67</v>
      </c>
      <c r="DE223" s="559" t="s">
        <v>67</v>
      </c>
      <c r="DF223" s="560" t="s">
        <v>67</v>
      </c>
      <c r="DG223" s="561" t="s">
        <v>67</v>
      </c>
      <c r="DH223" s="664" t="s">
        <v>67</v>
      </c>
      <c r="DI223" s="561" t="s">
        <v>67</v>
      </c>
      <c r="DJ223" s="562" t="s">
        <v>67</v>
      </c>
      <c r="DK223" s="558" t="s">
        <v>67</v>
      </c>
      <c r="DL223" s="559" t="s">
        <v>67</v>
      </c>
      <c r="DM223" s="559" t="s">
        <v>67</v>
      </c>
      <c r="DN223" s="559" t="s">
        <v>67</v>
      </c>
      <c r="DO223" s="560" t="s">
        <v>67</v>
      </c>
      <c r="DP223" s="561" t="s">
        <v>67</v>
      </c>
      <c r="DQ223" s="664" t="s">
        <v>67</v>
      </c>
      <c r="DR223" s="561" t="s">
        <v>67</v>
      </c>
      <c r="DS223" s="562" t="s">
        <v>67</v>
      </c>
      <c r="DT223" s="558" t="s">
        <v>67</v>
      </c>
      <c r="DU223" s="559" t="s">
        <v>67</v>
      </c>
      <c r="DV223" s="559" t="s">
        <v>67</v>
      </c>
      <c r="DW223" s="559" t="s">
        <v>67</v>
      </c>
      <c r="DX223" s="560" t="s">
        <v>67</v>
      </c>
      <c r="DY223" s="561" t="s">
        <v>67</v>
      </c>
      <c r="DZ223" s="664" t="s">
        <v>67</v>
      </c>
      <c r="EA223" s="561" t="s">
        <v>67</v>
      </c>
      <c r="EB223" s="562" t="s">
        <v>67</v>
      </c>
    </row>
    <row r="224" spans="1:132" s="2" customFormat="1" ht="25.5" x14ac:dyDescent="0.25">
      <c r="A224" s="577" t="s">
        <v>508</v>
      </c>
      <c r="B224" s="489" t="s">
        <v>509</v>
      </c>
      <c r="C224" s="565" t="s">
        <v>199</v>
      </c>
      <c r="D224" s="558">
        <v>123</v>
      </c>
      <c r="E224" s="559">
        <v>123</v>
      </c>
      <c r="F224" s="559">
        <v>123</v>
      </c>
      <c r="G224" s="559">
        <v>84</v>
      </c>
      <c r="H224" s="560">
        <v>84</v>
      </c>
      <c r="I224" s="561">
        <f t="shared" si="374"/>
        <v>0.68292682926829273</v>
      </c>
      <c r="J224" s="562">
        <f t="shared" si="375"/>
        <v>0.68292682926829273</v>
      </c>
      <c r="K224" s="558">
        <v>96</v>
      </c>
      <c r="L224" s="559">
        <v>96</v>
      </c>
      <c r="M224" s="559">
        <v>96</v>
      </c>
      <c r="N224" s="559">
        <v>70</v>
      </c>
      <c r="O224" s="560">
        <v>70</v>
      </c>
      <c r="P224" s="561">
        <f t="shared" si="376"/>
        <v>0.72916666666666663</v>
      </c>
      <c r="Q224" s="562">
        <f t="shared" si="377"/>
        <v>0.72916666666666663</v>
      </c>
      <c r="R224" s="558">
        <v>77</v>
      </c>
      <c r="S224" s="559">
        <v>72</v>
      </c>
      <c r="T224" s="559">
        <v>67</v>
      </c>
      <c r="U224" s="559">
        <v>59</v>
      </c>
      <c r="V224" s="560">
        <v>59</v>
      </c>
      <c r="W224" s="561">
        <f t="shared" si="372"/>
        <v>0.81944444444444442</v>
      </c>
      <c r="X224" s="562">
        <f t="shared" si="373"/>
        <v>0.88059701492537312</v>
      </c>
      <c r="Y224" s="558">
        <v>74</v>
      </c>
      <c r="Z224" s="559">
        <v>71</v>
      </c>
      <c r="AA224" s="559">
        <v>57</v>
      </c>
      <c r="AB224" s="559">
        <v>52</v>
      </c>
      <c r="AC224" s="560">
        <v>52</v>
      </c>
      <c r="AD224" s="561">
        <f>AB224/Z224</f>
        <v>0.73239436619718312</v>
      </c>
      <c r="AE224" s="562">
        <f>AB224/AA224</f>
        <v>0.91228070175438591</v>
      </c>
      <c r="AF224" s="558">
        <v>67</v>
      </c>
      <c r="AG224" s="559">
        <v>66</v>
      </c>
      <c r="AH224" s="559">
        <v>56</v>
      </c>
      <c r="AI224" s="559">
        <v>55</v>
      </c>
      <c r="AJ224" s="560">
        <v>49</v>
      </c>
      <c r="AK224" s="561">
        <f>AI224/AG224</f>
        <v>0.83333333333333337</v>
      </c>
      <c r="AL224" s="562">
        <f>AI224/AH224</f>
        <v>0.9821428571428571</v>
      </c>
      <c r="AM224" s="558">
        <v>35</v>
      </c>
      <c r="AN224" s="559">
        <v>35</v>
      </c>
      <c r="AO224" s="559">
        <v>33</v>
      </c>
      <c r="AP224" s="559">
        <v>31</v>
      </c>
      <c r="AQ224" s="560">
        <v>31</v>
      </c>
      <c r="AR224" s="561">
        <f>AP224/AN224</f>
        <v>0.88571428571428568</v>
      </c>
      <c r="AS224" s="562">
        <f>AP224/AO224</f>
        <v>0.93939393939393945</v>
      </c>
      <c r="AT224" s="558">
        <v>42</v>
      </c>
      <c r="AU224" s="559">
        <v>42</v>
      </c>
      <c r="AV224" s="559">
        <v>42</v>
      </c>
      <c r="AW224" s="559">
        <v>42</v>
      </c>
      <c r="AX224" s="560">
        <v>39</v>
      </c>
      <c r="AY224" s="561">
        <f>AW224/AU224</f>
        <v>1</v>
      </c>
      <c r="AZ224" s="562">
        <f>AW224/AV224</f>
        <v>1</v>
      </c>
      <c r="BA224" s="558">
        <v>44</v>
      </c>
      <c r="BB224" s="559">
        <v>44</v>
      </c>
      <c r="BC224" s="559">
        <v>42</v>
      </c>
      <c r="BD224" s="559">
        <v>42</v>
      </c>
      <c r="BE224" s="560">
        <v>38</v>
      </c>
      <c r="BF224" s="561">
        <f>BD224/BB224</f>
        <v>0.95454545454545459</v>
      </c>
      <c r="BG224" s="562">
        <f>BD224/BC224</f>
        <v>1</v>
      </c>
      <c r="BH224" s="558">
        <v>41</v>
      </c>
      <c r="BI224" s="559">
        <v>41</v>
      </c>
      <c r="BJ224" s="559">
        <v>34</v>
      </c>
      <c r="BK224" s="559">
        <v>34</v>
      </c>
      <c r="BL224" s="560">
        <v>32</v>
      </c>
      <c r="BM224" s="561">
        <f>BK224/BI224</f>
        <v>0.82926829268292679</v>
      </c>
      <c r="BN224" s="562">
        <f>BK224/BJ224</f>
        <v>1</v>
      </c>
      <c r="BO224" s="558" t="s">
        <v>67</v>
      </c>
      <c r="BP224" s="559" t="s">
        <v>67</v>
      </c>
      <c r="BQ224" s="559" t="s">
        <v>67</v>
      </c>
      <c r="BR224" s="559" t="s">
        <v>67</v>
      </c>
      <c r="BS224" s="560" t="s">
        <v>67</v>
      </c>
      <c r="BT224" s="561" t="s">
        <v>67</v>
      </c>
      <c r="BU224" s="562" t="s">
        <v>67</v>
      </c>
      <c r="BV224" s="558" t="s">
        <v>67</v>
      </c>
      <c r="BW224" s="559" t="s">
        <v>67</v>
      </c>
      <c r="BX224" s="559" t="s">
        <v>67</v>
      </c>
      <c r="BY224" s="559" t="s">
        <v>67</v>
      </c>
      <c r="BZ224" s="560" t="s">
        <v>67</v>
      </c>
      <c r="CA224" s="561" t="s">
        <v>67</v>
      </c>
      <c r="CB224" s="562" t="s">
        <v>67</v>
      </c>
      <c r="CC224" s="558" t="s">
        <v>67</v>
      </c>
      <c r="CD224" s="559" t="s">
        <v>67</v>
      </c>
      <c r="CE224" s="559" t="s">
        <v>67</v>
      </c>
      <c r="CF224" s="559" t="s">
        <v>67</v>
      </c>
      <c r="CG224" s="560" t="s">
        <v>67</v>
      </c>
      <c r="CH224" s="561" t="s">
        <v>67</v>
      </c>
      <c r="CI224" s="562" t="s">
        <v>67</v>
      </c>
      <c r="CJ224" s="558" t="s">
        <v>67</v>
      </c>
      <c r="CK224" s="559" t="s">
        <v>67</v>
      </c>
      <c r="CL224" s="559" t="s">
        <v>67</v>
      </c>
      <c r="CM224" s="559" t="s">
        <v>67</v>
      </c>
      <c r="CN224" s="560" t="s">
        <v>67</v>
      </c>
      <c r="CO224" s="561" t="s">
        <v>67</v>
      </c>
      <c r="CP224" s="664" t="s">
        <v>67</v>
      </c>
      <c r="CQ224" s="561" t="s">
        <v>67</v>
      </c>
      <c r="CR224" s="562" t="s">
        <v>67</v>
      </c>
      <c r="CS224" s="558" t="s">
        <v>67</v>
      </c>
      <c r="CT224" s="559" t="s">
        <v>67</v>
      </c>
      <c r="CU224" s="559" t="s">
        <v>67</v>
      </c>
      <c r="CV224" s="559" t="s">
        <v>67</v>
      </c>
      <c r="CW224" s="560" t="s">
        <v>67</v>
      </c>
      <c r="CX224" s="561" t="s">
        <v>67</v>
      </c>
      <c r="CY224" s="664" t="s">
        <v>67</v>
      </c>
      <c r="CZ224" s="561" t="s">
        <v>67</v>
      </c>
      <c r="DA224" s="562" t="s">
        <v>67</v>
      </c>
      <c r="DB224" s="558" t="s">
        <v>67</v>
      </c>
      <c r="DC224" s="559" t="s">
        <v>67</v>
      </c>
      <c r="DD224" s="559" t="s">
        <v>67</v>
      </c>
      <c r="DE224" s="559" t="s">
        <v>67</v>
      </c>
      <c r="DF224" s="560" t="s">
        <v>67</v>
      </c>
      <c r="DG224" s="561" t="s">
        <v>67</v>
      </c>
      <c r="DH224" s="664" t="s">
        <v>67</v>
      </c>
      <c r="DI224" s="561" t="s">
        <v>67</v>
      </c>
      <c r="DJ224" s="562" t="s">
        <v>67</v>
      </c>
      <c r="DK224" s="558" t="s">
        <v>67</v>
      </c>
      <c r="DL224" s="559" t="s">
        <v>67</v>
      </c>
      <c r="DM224" s="559" t="s">
        <v>67</v>
      </c>
      <c r="DN224" s="559" t="s">
        <v>67</v>
      </c>
      <c r="DO224" s="560" t="s">
        <v>67</v>
      </c>
      <c r="DP224" s="561" t="s">
        <v>67</v>
      </c>
      <c r="DQ224" s="664" t="s">
        <v>67</v>
      </c>
      <c r="DR224" s="561" t="s">
        <v>67</v>
      </c>
      <c r="DS224" s="562" t="s">
        <v>67</v>
      </c>
      <c r="DT224" s="558" t="s">
        <v>67</v>
      </c>
      <c r="DU224" s="559" t="s">
        <v>67</v>
      </c>
      <c r="DV224" s="559" t="s">
        <v>67</v>
      </c>
      <c r="DW224" s="559" t="s">
        <v>67</v>
      </c>
      <c r="DX224" s="560" t="s">
        <v>67</v>
      </c>
      <c r="DY224" s="561" t="s">
        <v>67</v>
      </c>
      <c r="DZ224" s="664" t="s">
        <v>67</v>
      </c>
      <c r="EA224" s="561" t="s">
        <v>67</v>
      </c>
      <c r="EB224" s="562" t="s">
        <v>67</v>
      </c>
    </row>
    <row r="225" spans="1:132" s="2" customFormat="1" x14ac:dyDescent="0.25">
      <c r="A225" s="577" t="s">
        <v>573</v>
      </c>
      <c r="B225" s="489" t="s">
        <v>510</v>
      </c>
      <c r="C225" s="565" t="s">
        <v>199</v>
      </c>
      <c r="D225" s="558">
        <v>1286</v>
      </c>
      <c r="E225" s="559">
        <v>1283</v>
      </c>
      <c r="F225" s="559">
        <v>1159</v>
      </c>
      <c r="G225" s="559">
        <v>1139</v>
      </c>
      <c r="H225" s="560">
        <v>998</v>
      </c>
      <c r="I225" s="561">
        <f t="shared" si="374"/>
        <v>0.88776305533904909</v>
      </c>
      <c r="J225" s="562">
        <f t="shared" si="375"/>
        <v>0.9827437446074202</v>
      </c>
      <c r="K225" s="558">
        <v>1366</v>
      </c>
      <c r="L225" s="559">
        <v>1361</v>
      </c>
      <c r="M225" s="559">
        <v>1229</v>
      </c>
      <c r="N225" s="559">
        <v>1224</v>
      </c>
      <c r="O225" s="560">
        <v>1091</v>
      </c>
      <c r="P225" s="561">
        <f t="shared" si="376"/>
        <v>0.89933872152828798</v>
      </c>
      <c r="Q225" s="562">
        <f t="shared" si="377"/>
        <v>0.9959316517493898</v>
      </c>
      <c r="R225" s="558">
        <v>1411</v>
      </c>
      <c r="S225" s="559">
        <v>1406</v>
      </c>
      <c r="T225" s="559">
        <v>1248</v>
      </c>
      <c r="U225" s="559">
        <v>1248</v>
      </c>
      <c r="V225" s="560">
        <v>1131</v>
      </c>
      <c r="W225" s="561">
        <f t="shared" si="372"/>
        <v>0.88762446657183502</v>
      </c>
      <c r="X225" s="562">
        <f t="shared" si="373"/>
        <v>1</v>
      </c>
      <c r="Y225" s="558">
        <v>1243</v>
      </c>
      <c r="Z225" s="559">
        <v>1240</v>
      </c>
      <c r="AA225" s="559">
        <v>1120</v>
      </c>
      <c r="AB225" s="559">
        <v>1120</v>
      </c>
      <c r="AC225" s="560">
        <v>1016</v>
      </c>
      <c r="AD225" s="561">
        <f>AB225/Z225</f>
        <v>0.90322580645161288</v>
      </c>
      <c r="AE225" s="562">
        <f>AB225/AA225</f>
        <v>1</v>
      </c>
      <c r="AF225" s="558">
        <v>1175</v>
      </c>
      <c r="AG225" s="559">
        <v>1132</v>
      </c>
      <c r="AH225" s="559">
        <v>1132</v>
      </c>
      <c r="AI225" s="559">
        <v>997</v>
      </c>
      <c r="AJ225" s="560">
        <v>895</v>
      </c>
      <c r="AK225" s="561">
        <f>AI225/AG225</f>
        <v>0.88074204946996471</v>
      </c>
      <c r="AL225" s="562">
        <f>AI225/AH225</f>
        <v>0.88074204946996471</v>
      </c>
      <c r="AM225" s="558">
        <v>943</v>
      </c>
      <c r="AN225" s="559">
        <v>913</v>
      </c>
      <c r="AO225" s="559">
        <v>913</v>
      </c>
      <c r="AP225" s="559">
        <v>816</v>
      </c>
      <c r="AQ225" s="560">
        <v>758</v>
      </c>
      <c r="AR225" s="561">
        <f>AP225/AN225</f>
        <v>0.89375684556407453</v>
      </c>
      <c r="AS225" s="562">
        <f>AP225/AO225</f>
        <v>0.89375684556407453</v>
      </c>
      <c r="AT225" s="558">
        <v>789</v>
      </c>
      <c r="AU225" s="559">
        <v>755</v>
      </c>
      <c r="AV225" s="559">
        <v>755</v>
      </c>
      <c r="AW225" s="559">
        <v>685</v>
      </c>
      <c r="AX225" s="560">
        <v>619</v>
      </c>
      <c r="AY225" s="561">
        <f>AW225/AU225</f>
        <v>0.9072847682119205</v>
      </c>
      <c r="AZ225" s="562">
        <f>AW225/AV225</f>
        <v>0.9072847682119205</v>
      </c>
      <c r="BA225" s="558">
        <v>684</v>
      </c>
      <c r="BB225" s="559">
        <v>660</v>
      </c>
      <c r="BC225" s="559">
        <v>660</v>
      </c>
      <c r="BD225" s="559">
        <v>584</v>
      </c>
      <c r="BE225" s="560">
        <v>514</v>
      </c>
      <c r="BF225" s="561">
        <f>BD225/BB225</f>
        <v>0.88484848484848488</v>
      </c>
      <c r="BG225" s="562">
        <f>BD225/BC225</f>
        <v>0.88484848484848488</v>
      </c>
      <c r="BH225" s="558">
        <v>598</v>
      </c>
      <c r="BI225" s="559">
        <v>575</v>
      </c>
      <c r="BJ225" s="559">
        <v>575</v>
      </c>
      <c r="BK225" s="559">
        <v>536</v>
      </c>
      <c r="BL225" s="560">
        <v>461</v>
      </c>
      <c r="BM225" s="561">
        <f>BK225/BI225</f>
        <v>0.9321739130434783</v>
      </c>
      <c r="BN225" s="562">
        <f>BK225/BJ225</f>
        <v>0.9321739130434783</v>
      </c>
      <c r="BO225" s="558" t="s">
        <v>67</v>
      </c>
      <c r="BP225" s="559" t="s">
        <v>67</v>
      </c>
      <c r="BQ225" s="559" t="s">
        <v>67</v>
      </c>
      <c r="BR225" s="559" t="s">
        <v>67</v>
      </c>
      <c r="BS225" s="560" t="s">
        <v>67</v>
      </c>
      <c r="BT225" s="561" t="s">
        <v>67</v>
      </c>
      <c r="BU225" s="562" t="s">
        <v>67</v>
      </c>
      <c r="BV225" s="558">
        <v>512</v>
      </c>
      <c r="BW225" s="559">
        <v>484</v>
      </c>
      <c r="BX225" s="559">
        <v>484</v>
      </c>
      <c r="BY225" s="559">
        <v>415</v>
      </c>
      <c r="BZ225" s="560">
        <v>371</v>
      </c>
      <c r="CA225" s="561">
        <f>BY225/BW225</f>
        <v>0.8574380165289256</v>
      </c>
      <c r="CB225" s="562">
        <f>BY225/BX225</f>
        <v>0.8574380165289256</v>
      </c>
      <c r="CC225" s="558">
        <v>442</v>
      </c>
      <c r="CD225" s="559">
        <v>422</v>
      </c>
      <c r="CE225" s="559">
        <v>422</v>
      </c>
      <c r="CF225" s="559">
        <v>355</v>
      </c>
      <c r="CG225" s="560">
        <v>344</v>
      </c>
      <c r="CH225" s="561">
        <f>CF225/CD225</f>
        <v>0.84123222748815163</v>
      </c>
      <c r="CI225" s="562">
        <f>CF225/CE225</f>
        <v>0.84123222748815163</v>
      </c>
      <c r="CJ225" s="558">
        <v>369</v>
      </c>
      <c r="CK225" s="559">
        <v>348</v>
      </c>
      <c r="CL225" s="559">
        <v>348</v>
      </c>
      <c r="CM225" s="559">
        <v>297</v>
      </c>
      <c r="CN225" s="560">
        <v>277</v>
      </c>
      <c r="CO225" s="561">
        <f>CM225/CK225</f>
        <v>0.85344827586206895</v>
      </c>
      <c r="CP225" s="664">
        <f>CM225/CL225</f>
        <v>0.85344827586206895</v>
      </c>
      <c r="CQ225" s="561">
        <v>1</v>
      </c>
      <c r="CR225" s="562">
        <v>1</v>
      </c>
      <c r="CS225" s="558">
        <v>162</v>
      </c>
      <c r="CT225" s="559">
        <v>161</v>
      </c>
      <c r="CU225" s="559">
        <v>161</v>
      </c>
      <c r="CV225" s="559">
        <v>161</v>
      </c>
      <c r="CW225" s="560">
        <v>161</v>
      </c>
      <c r="CX225" s="561">
        <f>CV225/CT225</f>
        <v>1</v>
      </c>
      <c r="CY225" s="664">
        <f>CV225/CU225</f>
        <v>1</v>
      </c>
      <c r="CZ225" s="561">
        <v>1</v>
      </c>
      <c r="DA225" s="562">
        <v>1</v>
      </c>
      <c r="DB225" s="558" t="s">
        <v>67</v>
      </c>
      <c r="DC225" s="559" t="s">
        <v>67</v>
      </c>
      <c r="DD225" s="559" t="s">
        <v>67</v>
      </c>
      <c r="DE225" s="559" t="s">
        <v>67</v>
      </c>
      <c r="DF225" s="560" t="s">
        <v>67</v>
      </c>
      <c r="DG225" s="561" t="s">
        <v>67</v>
      </c>
      <c r="DH225" s="664" t="s">
        <v>67</v>
      </c>
      <c r="DI225" s="561" t="s">
        <v>67</v>
      </c>
      <c r="DJ225" s="562" t="s">
        <v>67</v>
      </c>
      <c r="DK225" s="558" t="s">
        <v>67</v>
      </c>
      <c r="DL225" s="559" t="s">
        <v>67</v>
      </c>
      <c r="DM225" s="559" t="s">
        <v>67</v>
      </c>
      <c r="DN225" s="559" t="s">
        <v>67</v>
      </c>
      <c r="DO225" s="560" t="s">
        <v>67</v>
      </c>
      <c r="DP225" s="561" t="s">
        <v>67</v>
      </c>
      <c r="DQ225" s="664" t="s">
        <v>67</v>
      </c>
      <c r="DR225" s="561" t="s">
        <v>67</v>
      </c>
      <c r="DS225" s="562" t="s">
        <v>67</v>
      </c>
      <c r="DT225" s="558" t="s">
        <v>67</v>
      </c>
      <c r="DU225" s="559" t="s">
        <v>67</v>
      </c>
      <c r="DV225" s="559" t="s">
        <v>67</v>
      </c>
      <c r="DW225" s="559" t="s">
        <v>67</v>
      </c>
      <c r="DX225" s="560" t="s">
        <v>67</v>
      </c>
      <c r="DY225" s="561" t="s">
        <v>67</v>
      </c>
      <c r="DZ225" s="664" t="s">
        <v>67</v>
      </c>
      <c r="EA225" s="561" t="s">
        <v>67</v>
      </c>
      <c r="EB225" s="562" t="s">
        <v>67</v>
      </c>
    </row>
    <row r="226" spans="1:132" s="2" customFormat="1" x14ac:dyDescent="0.25">
      <c r="A226" s="577" t="s">
        <v>616</v>
      </c>
      <c r="B226" s="489" t="s">
        <v>511</v>
      </c>
      <c r="C226" s="565" t="s">
        <v>199</v>
      </c>
      <c r="D226" s="558">
        <v>377</v>
      </c>
      <c r="E226" s="559">
        <v>341</v>
      </c>
      <c r="F226" s="559">
        <v>341</v>
      </c>
      <c r="G226" s="559">
        <v>238</v>
      </c>
      <c r="H226" s="560">
        <v>238</v>
      </c>
      <c r="I226" s="561">
        <f t="shared" si="374"/>
        <v>0.69794721407624638</v>
      </c>
      <c r="J226" s="562">
        <f t="shared" si="375"/>
        <v>0.69794721407624638</v>
      </c>
      <c r="K226" s="558">
        <v>419</v>
      </c>
      <c r="L226" s="559">
        <v>400</v>
      </c>
      <c r="M226" s="559">
        <v>400</v>
      </c>
      <c r="N226" s="559">
        <v>310</v>
      </c>
      <c r="O226" s="560">
        <v>289</v>
      </c>
      <c r="P226" s="561">
        <f t="shared" si="376"/>
        <v>0.77500000000000002</v>
      </c>
      <c r="Q226" s="562">
        <f t="shared" si="377"/>
        <v>0.77500000000000002</v>
      </c>
      <c r="R226" s="558">
        <v>384</v>
      </c>
      <c r="S226" s="559">
        <v>375</v>
      </c>
      <c r="T226" s="559">
        <v>375</v>
      </c>
      <c r="U226" s="559">
        <v>255</v>
      </c>
      <c r="V226" s="560">
        <v>243</v>
      </c>
      <c r="W226" s="561">
        <f t="shared" si="372"/>
        <v>0.68</v>
      </c>
      <c r="X226" s="562">
        <f t="shared" si="373"/>
        <v>0.68</v>
      </c>
      <c r="Y226" s="558">
        <v>309</v>
      </c>
      <c r="Z226" s="559">
        <v>303</v>
      </c>
      <c r="AA226" s="559">
        <v>196</v>
      </c>
      <c r="AB226" s="559">
        <v>196</v>
      </c>
      <c r="AC226" s="560">
        <v>189</v>
      </c>
      <c r="AD226" s="561">
        <f>AB226/Z226</f>
        <v>0.64686468646864681</v>
      </c>
      <c r="AE226" s="562">
        <f>AB226/AA226</f>
        <v>1</v>
      </c>
      <c r="AF226" s="558">
        <v>179</v>
      </c>
      <c r="AG226" s="559">
        <v>177</v>
      </c>
      <c r="AH226" s="559">
        <v>177</v>
      </c>
      <c r="AI226" s="559">
        <v>116</v>
      </c>
      <c r="AJ226" s="560">
        <v>108</v>
      </c>
      <c r="AK226" s="561">
        <f>AI226/AG226</f>
        <v>0.65536723163841804</v>
      </c>
      <c r="AL226" s="562">
        <f>AI226/AH226</f>
        <v>0.65536723163841804</v>
      </c>
      <c r="AM226" s="558">
        <v>180</v>
      </c>
      <c r="AN226" s="559">
        <v>172</v>
      </c>
      <c r="AO226" s="559">
        <v>172</v>
      </c>
      <c r="AP226" s="559">
        <v>128</v>
      </c>
      <c r="AQ226" s="560">
        <v>120</v>
      </c>
      <c r="AR226" s="561">
        <f>AP226/AN226</f>
        <v>0.7441860465116279</v>
      </c>
      <c r="AS226" s="562">
        <f>AP226/AO226</f>
        <v>0.7441860465116279</v>
      </c>
      <c r="AT226" s="558">
        <v>112</v>
      </c>
      <c r="AU226" s="559">
        <v>110</v>
      </c>
      <c r="AV226" s="559">
        <v>81</v>
      </c>
      <c r="AW226" s="559">
        <v>81</v>
      </c>
      <c r="AX226" s="560">
        <v>78</v>
      </c>
      <c r="AY226" s="561">
        <f>AW226/AU226</f>
        <v>0.73636363636363633</v>
      </c>
      <c r="AZ226" s="562">
        <f>AW226/AV226</f>
        <v>1</v>
      </c>
      <c r="BA226" s="558">
        <v>139</v>
      </c>
      <c r="BB226" s="559">
        <v>137</v>
      </c>
      <c r="BC226" s="559">
        <v>98</v>
      </c>
      <c r="BD226" s="559">
        <v>98</v>
      </c>
      <c r="BE226" s="560">
        <v>96</v>
      </c>
      <c r="BF226" s="561">
        <f>BD226/BB226</f>
        <v>0.71532846715328469</v>
      </c>
      <c r="BG226" s="562">
        <f>BD226/BC226</f>
        <v>1</v>
      </c>
      <c r="BH226" s="558">
        <v>122</v>
      </c>
      <c r="BI226" s="559">
        <v>118</v>
      </c>
      <c r="BJ226" s="559">
        <v>118</v>
      </c>
      <c r="BK226" s="559">
        <v>81</v>
      </c>
      <c r="BL226" s="560">
        <v>77</v>
      </c>
      <c r="BM226" s="561">
        <f>BK226/BI226</f>
        <v>0.68644067796610164</v>
      </c>
      <c r="BN226" s="562">
        <f>BK226/BJ226</f>
        <v>0.68644067796610164</v>
      </c>
      <c r="BO226" s="558">
        <v>64</v>
      </c>
      <c r="BP226" s="559">
        <v>63</v>
      </c>
      <c r="BQ226" s="559">
        <v>63</v>
      </c>
      <c r="BR226" s="559">
        <v>47</v>
      </c>
      <c r="BS226" s="560">
        <v>45</v>
      </c>
      <c r="BT226" s="561">
        <f>BR226/BP226</f>
        <v>0.74603174603174605</v>
      </c>
      <c r="BU226" s="562">
        <f>BR226/BQ226</f>
        <v>0.74603174603174605</v>
      </c>
      <c r="BV226" s="558">
        <v>97</v>
      </c>
      <c r="BW226" s="559">
        <v>94</v>
      </c>
      <c r="BX226" s="559">
        <v>94</v>
      </c>
      <c r="BY226" s="559">
        <v>64</v>
      </c>
      <c r="BZ226" s="560">
        <v>59</v>
      </c>
      <c r="CA226" s="561">
        <f>BY226/BW226</f>
        <v>0.68085106382978722</v>
      </c>
      <c r="CB226" s="562">
        <f>BY226/BX226</f>
        <v>0.68085106382978722</v>
      </c>
      <c r="CC226" s="558">
        <v>32</v>
      </c>
      <c r="CD226" s="559">
        <v>32</v>
      </c>
      <c r="CE226" s="559">
        <v>32</v>
      </c>
      <c r="CF226" s="559">
        <v>32</v>
      </c>
      <c r="CG226" s="560">
        <v>27</v>
      </c>
      <c r="CH226" s="561">
        <f>CF226/CD226</f>
        <v>1</v>
      </c>
      <c r="CI226" s="562">
        <f>CF226/CE226</f>
        <v>1</v>
      </c>
      <c r="CJ226" s="558">
        <v>34</v>
      </c>
      <c r="CK226" s="559">
        <v>34</v>
      </c>
      <c r="CL226" s="559">
        <v>34</v>
      </c>
      <c r="CM226" s="559">
        <v>34</v>
      </c>
      <c r="CN226" s="560">
        <v>30</v>
      </c>
      <c r="CO226" s="561">
        <f>CM226/CK226</f>
        <v>1</v>
      </c>
      <c r="CP226" s="664">
        <f>CM226/CL226</f>
        <v>1</v>
      </c>
      <c r="CQ226" s="561">
        <v>1</v>
      </c>
      <c r="CR226" s="562">
        <v>1</v>
      </c>
      <c r="CS226" s="558">
        <v>40</v>
      </c>
      <c r="CT226" s="559">
        <v>40</v>
      </c>
      <c r="CU226" s="559">
        <v>40</v>
      </c>
      <c r="CV226" s="559">
        <v>40</v>
      </c>
      <c r="CW226" s="560">
        <v>40</v>
      </c>
      <c r="CX226" s="561">
        <f>CV226/CT226</f>
        <v>1</v>
      </c>
      <c r="CY226" s="664">
        <f>CV226/CU226</f>
        <v>1</v>
      </c>
      <c r="CZ226" s="561">
        <v>1</v>
      </c>
      <c r="DA226" s="562">
        <v>1</v>
      </c>
      <c r="DB226" s="558">
        <v>77</v>
      </c>
      <c r="DC226" s="559">
        <v>77</v>
      </c>
      <c r="DD226" s="559">
        <v>77</v>
      </c>
      <c r="DE226" s="559">
        <v>77</v>
      </c>
      <c r="DF226" s="560">
        <v>64</v>
      </c>
      <c r="DG226" s="561">
        <f>DE226/DC226</f>
        <v>1</v>
      </c>
      <c r="DH226" s="664">
        <f>DE226/DD226</f>
        <v>1</v>
      </c>
      <c r="DI226" s="561" t="s">
        <v>67</v>
      </c>
      <c r="DJ226" s="562" t="s">
        <v>67</v>
      </c>
      <c r="DK226" s="558">
        <v>67</v>
      </c>
      <c r="DL226" s="559">
        <v>67</v>
      </c>
      <c r="DM226" s="559">
        <v>67</v>
      </c>
      <c r="DN226" s="559">
        <v>67</v>
      </c>
      <c r="DO226" s="560">
        <v>66</v>
      </c>
      <c r="DP226" s="561">
        <f>DN226/DL226</f>
        <v>1</v>
      </c>
      <c r="DQ226" s="664">
        <f>DN226/DM226</f>
        <v>1</v>
      </c>
      <c r="DR226" s="561">
        <v>1</v>
      </c>
      <c r="DS226" s="562">
        <v>1</v>
      </c>
      <c r="DT226" s="558">
        <v>57</v>
      </c>
      <c r="DU226" s="559">
        <v>57</v>
      </c>
      <c r="DV226" s="559">
        <v>57</v>
      </c>
      <c r="DW226" s="559">
        <v>50</v>
      </c>
      <c r="DX226" s="560">
        <v>48</v>
      </c>
      <c r="DY226" s="561">
        <f>DW226/DU226</f>
        <v>0.8771929824561403</v>
      </c>
      <c r="DZ226" s="664">
        <f>DW226/DV226</f>
        <v>0.8771929824561403</v>
      </c>
      <c r="EA226" s="561">
        <v>0.8771929824561403</v>
      </c>
      <c r="EB226" s="562">
        <v>0.8771929824561403</v>
      </c>
    </row>
    <row r="227" spans="1:132" s="2" customFormat="1" ht="25.5" x14ac:dyDescent="0.25">
      <c r="A227" s="577" t="s">
        <v>512</v>
      </c>
      <c r="B227" s="489" t="s">
        <v>513</v>
      </c>
      <c r="C227" s="565" t="s">
        <v>199</v>
      </c>
      <c r="D227" s="535" t="s">
        <v>67</v>
      </c>
      <c r="E227" s="582" t="s">
        <v>67</v>
      </c>
      <c r="F227" s="582" t="s">
        <v>67</v>
      </c>
      <c r="G227" s="582" t="s">
        <v>67</v>
      </c>
      <c r="H227" s="583" t="s">
        <v>67</v>
      </c>
      <c r="I227" s="584" t="s">
        <v>67</v>
      </c>
      <c r="J227" s="585" t="s">
        <v>67</v>
      </c>
      <c r="K227" s="558" t="s">
        <v>67</v>
      </c>
      <c r="L227" s="559" t="s">
        <v>67</v>
      </c>
      <c r="M227" s="559" t="s">
        <v>67</v>
      </c>
      <c r="N227" s="559" t="s">
        <v>67</v>
      </c>
      <c r="O227" s="560" t="s">
        <v>67</v>
      </c>
      <c r="P227" s="561" t="s">
        <v>67</v>
      </c>
      <c r="Q227" s="562" t="s">
        <v>67</v>
      </c>
      <c r="R227" s="558" t="s">
        <v>67</v>
      </c>
      <c r="S227" s="559" t="s">
        <v>67</v>
      </c>
      <c r="T227" s="559" t="s">
        <v>67</v>
      </c>
      <c r="U227" s="559" t="s">
        <v>67</v>
      </c>
      <c r="V227" s="560" t="s">
        <v>67</v>
      </c>
      <c r="W227" s="561" t="s">
        <v>67</v>
      </c>
      <c r="X227" s="562" t="s">
        <v>67</v>
      </c>
      <c r="Y227" s="558" t="s">
        <v>67</v>
      </c>
      <c r="Z227" s="559" t="s">
        <v>67</v>
      </c>
      <c r="AA227" s="559" t="s">
        <v>67</v>
      </c>
      <c r="AB227" s="559" t="s">
        <v>67</v>
      </c>
      <c r="AC227" s="560" t="s">
        <v>67</v>
      </c>
      <c r="AD227" s="561" t="s">
        <v>67</v>
      </c>
      <c r="AE227" s="562" t="s">
        <v>67</v>
      </c>
      <c r="AF227" s="558" t="s">
        <v>67</v>
      </c>
      <c r="AG227" s="559" t="s">
        <v>67</v>
      </c>
      <c r="AH227" s="559" t="s">
        <v>67</v>
      </c>
      <c r="AI227" s="559" t="s">
        <v>67</v>
      </c>
      <c r="AJ227" s="560" t="s">
        <v>67</v>
      </c>
      <c r="AK227" s="561" t="s">
        <v>67</v>
      </c>
      <c r="AL227" s="562" t="s">
        <v>67</v>
      </c>
      <c r="AM227" s="558" t="s">
        <v>67</v>
      </c>
      <c r="AN227" s="559" t="s">
        <v>67</v>
      </c>
      <c r="AO227" s="559" t="s">
        <v>67</v>
      </c>
      <c r="AP227" s="559" t="s">
        <v>67</v>
      </c>
      <c r="AQ227" s="560" t="s">
        <v>67</v>
      </c>
      <c r="AR227" s="561" t="s">
        <v>67</v>
      </c>
      <c r="AS227" s="562" t="s">
        <v>67</v>
      </c>
      <c r="AT227" s="558" t="s">
        <v>67</v>
      </c>
      <c r="AU227" s="559" t="s">
        <v>67</v>
      </c>
      <c r="AV227" s="559" t="s">
        <v>67</v>
      </c>
      <c r="AW227" s="559" t="s">
        <v>67</v>
      </c>
      <c r="AX227" s="560" t="s">
        <v>67</v>
      </c>
      <c r="AY227" s="561" t="s">
        <v>67</v>
      </c>
      <c r="AZ227" s="562" t="s">
        <v>67</v>
      </c>
      <c r="BA227" s="558" t="s">
        <v>67</v>
      </c>
      <c r="BB227" s="559" t="s">
        <v>67</v>
      </c>
      <c r="BC227" s="559" t="s">
        <v>67</v>
      </c>
      <c r="BD227" s="559" t="s">
        <v>67</v>
      </c>
      <c r="BE227" s="560" t="s">
        <v>67</v>
      </c>
      <c r="BF227" s="561" t="s">
        <v>67</v>
      </c>
      <c r="BG227" s="562" t="s">
        <v>67</v>
      </c>
      <c r="BH227" s="558" t="s">
        <v>67</v>
      </c>
      <c r="BI227" s="559" t="s">
        <v>67</v>
      </c>
      <c r="BJ227" s="559" t="s">
        <v>67</v>
      </c>
      <c r="BK227" s="559" t="s">
        <v>67</v>
      </c>
      <c r="BL227" s="560" t="s">
        <v>67</v>
      </c>
      <c r="BM227" s="561" t="s">
        <v>67</v>
      </c>
      <c r="BN227" s="562" t="s">
        <v>67</v>
      </c>
      <c r="BO227" s="558" t="s">
        <v>67</v>
      </c>
      <c r="BP227" s="559" t="s">
        <v>67</v>
      </c>
      <c r="BQ227" s="559" t="s">
        <v>67</v>
      </c>
      <c r="BR227" s="559" t="s">
        <v>67</v>
      </c>
      <c r="BS227" s="560" t="s">
        <v>67</v>
      </c>
      <c r="BT227" s="561" t="s">
        <v>67</v>
      </c>
      <c r="BU227" s="562" t="s">
        <v>67</v>
      </c>
      <c r="BV227" s="558" t="s">
        <v>67</v>
      </c>
      <c r="BW227" s="559" t="s">
        <v>67</v>
      </c>
      <c r="BX227" s="559" t="s">
        <v>67</v>
      </c>
      <c r="BY227" s="559" t="s">
        <v>67</v>
      </c>
      <c r="BZ227" s="560" t="s">
        <v>67</v>
      </c>
      <c r="CA227" s="561" t="s">
        <v>67</v>
      </c>
      <c r="CB227" s="562" t="s">
        <v>67</v>
      </c>
      <c r="CC227" s="558" t="s">
        <v>67</v>
      </c>
      <c r="CD227" s="559" t="s">
        <v>67</v>
      </c>
      <c r="CE227" s="559" t="s">
        <v>67</v>
      </c>
      <c r="CF227" s="559" t="s">
        <v>67</v>
      </c>
      <c r="CG227" s="560" t="s">
        <v>67</v>
      </c>
      <c r="CH227" s="561" t="s">
        <v>67</v>
      </c>
      <c r="CI227" s="562" t="s">
        <v>67</v>
      </c>
      <c r="CJ227" s="558" t="s">
        <v>67</v>
      </c>
      <c r="CK227" s="559" t="s">
        <v>67</v>
      </c>
      <c r="CL227" s="559" t="s">
        <v>67</v>
      </c>
      <c r="CM227" s="559" t="s">
        <v>67</v>
      </c>
      <c r="CN227" s="560" t="s">
        <v>67</v>
      </c>
      <c r="CO227" s="561" t="s">
        <v>67</v>
      </c>
      <c r="CP227" s="664" t="s">
        <v>67</v>
      </c>
      <c r="CQ227" s="561" t="s">
        <v>67</v>
      </c>
      <c r="CR227" s="562" t="s">
        <v>67</v>
      </c>
      <c r="CS227" s="558" t="s">
        <v>67</v>
      </c>
      <c r="CT227" s="559" t="s">
        <v>67</v>
      </c>
      <c r="CU227" s="559" t="s">
        <v>67</v>
      </c>
      <c r="CV227" s="559" t="s">
        <v>67</v>
      </c>
      <c r="CW227" s="560" t="s">
        <v>67</v>
      </c>
      <c r="CX227" s="561" t="s">
        <v>67</v>
      </c>
      <c r="CY227" s="664" t="s">
        <v>67</v>
      </c>
      <c r="CZ227" s="561" t="s">
        <v>67</v>
      </c>
      <c r="DA227" s="562" t="s">
        <v>67</v>
      </c>
      <c r="DB227" s="558" t="s">
        <v>67</v>
      </c>
      <c r="DC227" s="559" t="s">
        <v>67</v>
      </c>
      <c r="DD227" s="559" t="s">
        <v>67</v>
      </c>
      <c r="DE227" s="559" t="s">
        <v>67</v>
      </c>
      <c r="DF227" s="560" t="s">
        <v>67</v>
      </c>
      <c r="DG227" s="561" t="s">
        <v>67</v>
      </c>
      <c r="DH227" s="664" t="s">
        <v>67</v>
      </c>
      <c r="DI227" s="561" t="s">
        <v>67</v>
      </c>
      <c r="DJ227" s="562" t="s">
        <v>67</v>
      </c>
      <c r="DK227" s="558" t="s">
        <v>67</v>
      </c>
      <c r="DL227" s="559" t="s">
        <v>67</v>
      </c>
      <c r="DM227" s="559" t="s">
        <v>67</v>
      </c>
      <c r="DN227" s="559" t="s">
        <v>67</v>
      </c>
      <c r="DO227" s="560" t="s">
        <v>67</v>
      </c>
      <c r="DP227" s="561" t="s">
        <v>67</v>
      </c>
      <c r="DQ227" s="664" t="s">
        <v>67</v>
      </c>
      <c r="DR227" s="561" t="s">
        <v>67</v>
      </c>
      <c r="DS227" s="562" t="s">
        <v>67</v>
      </c>
      <c r="DT227" s="558" t="s">
        <v>67</v>
      </c>
      <c r="DU227" s="559" t="s">
        <v>67</v>
      </c>
      <c r="DV227" s="559" t="s">
        <v>67</v>
      </c>
      <c r="DW227" s="559" t="s">
        <v>67</v>
      </c>
      <c r="DX227" s="560" t="s">
        <v>67</v>
      </c>
      <c r="DY227" s="561" t="s">
        <v>67</v>
      </c>
      <c r="DZ227" s="664" t="s">
        <v>67</v>
      </c>
      <c r="EA227" s="561" t="s">
        <v>67</v>
      </c>
      <c r="EB227" s="562" t="s">
        <v>67</v>
      </c>
    </row>
    <row r="228" spans="1:132" s="2" customFormat="1" x14ac:dyDescent="0.25">
      <c r="A228" s="577" t="s">
        <v>574</v>
      </c>
      <c r="B228" s="489" t="s">
        <v>514</v>
      </c>
      <c r="C228" s="565" t="s">
        <v>199</v>
      </c>
      <c r="D228" s="558">
        <v>1450</v>
      </c>
      <c r="E228" s="559">
        <v>1409</v>
      </c>
      <c r="F228" s="559">
        <v>1358</v>
      </c>
      <c r="G228" s="559">
        <v>1344</v>
      </c>
      <c r="H228" s="560">
        <v>1137</v>
      </c>
      <c r="I228" s="561">
        <f t="shared" si="374"/>
        <v>0.95386799148332146</v>
      </c>
      <c r="J228" s="562">
        <f t="shared" si="375"/>
        <v>0.98969072164948457</v>
      </c>
      <c r="K228" s="558">
        <v>1437</v>
      </c>
      <c r="L228" s="559">
        <v>1405</v>
      </c>
      <c r="M228" s="559">
        <v>1166</v>
      </c>
      <c r="N228" s="559">
        <v>1143</v>
      </c>
      <c r="O228" s="560">
        <v>1123</v>
      </c>
      <c r="P228" s="561">
        <f t="shared" ref="P228:P241" si="406">N228/L228</f>
        <v>0.81352313167259782</v>
      </c>
      <c r="Q228" s="562">
        <f t="shared" ref="Q228:Q241" si="407">N228/M228</f>
        <v>0.98027444253859353</v>
      </c>
      <c r="R228" s="558">
        <v>1314</v>
      </c>
      <c r="S228" s="559">
        <v>1266</v>
      </c>
      <c r="T228" s="559">
        <v>1063</v>
      </c>
      <c r="U228" s="559">
        <v>1063</v>
      </c>
      <c r="V228" s="560">
        <v>1028</v>
      </c>
      <c r="W228" s="561">
        <f t="shared" si="372"/>
        <v>0.83965244865718802</v>
      </c>
      <c r="X228" s="562">
        <f t="shared" si="373"/>
        <v>1</v>
      </c>
      <c r="Y228" s="558">
        <v>1270</v>
      </c>
      <c r="Z228" s="559">
        <v>1232</v>
      </c>
      <c r="AA228" s="559">
        <v>935</v>
      </c>
      <c r="AB228" s="559">
        <v>934</v>
      </c>
      <c r="AC228" s="560">
        <v>934</v>
      </c>
      <c r="AD228" s="561">
        <f t="shared" ref="AD228:AD237" si="408">AB228/Z228</f>
        <v>0.75811688311688308</v>
      </c>
      <c r="AE228" s="562">
        <f t="shared" ref="AE228:AE237" si="409">AB228/AA228</f>
        <v>0.99893048128342243</v>
      </c>
      <c r="AF228" s="558">
        <v>1451</v>
      </c>
      <c r="AG228" s="559">
        <v>1344</v>
      </c>
      <c r="AH228" s="559">
        <v>871</v>
      </c>
      <c r="AI228" s="559">
        <v>858</v>
      </c>
      <c r="AJ228" s="560">
        <v>858</v>
      </c>
      <c r="AK228" s="561">
        <f t="shared" ref="AK228:AK237" si="410">AI228/AG228</f>
        <v>0.6383928571428571</v>
      </c>
      <c r="AL228" s="562">
        <f t="shared" ref="AL228:AL237" si="411">AI228/AH228</f>
        <v>0.9850746268656716</v>
      </c>
      <c r="AM228" s="558">
        <v>1235</v>
      </c>
      <c r="AN228" s="559">
        <v>1151</v>
      </c>
      <c r="AO228" s="559">
        <v>743</v>
      </c>
      <c r="AP228" s="559">
        <v>730</v>
      </c>
      <c r="AQ228" s="560">
        <v>730</v>
      </c>
      <c r="AR228" s="561">
        <f t="shared" ref="AR228:AR237" si="412">AP228/AN228</f>
        <v>0.63423110338835798</v>
      </c>
      <c r="AS228" s="562">
        <f t="shared" ref="AS228:AS237" si="413">AP228/AO228</f>
        <v>0.98250336473755051</v>
      </c>
      <c r="AT228" s="558">
        <v>1275</v>
      </c>
      <c r="AU228" s="559">
        <v>1165</v>
      </c>
      <c r="AV228" s="559">
        <v>729</v>
      </c>
      <c r="AW228" s="559">
        <v>709</v>
      </c>
      <c r="AX228" s="560">
        <v>709</v>
      </c>
      <c r="AY228" s="561">
        <f t="shared" ref="AY228:AY237" si="414">AW228/AU228</f>
        <v>0.6085836909871245</v>
      </c>
      <c r="AZ228" s="562">
        <f t="shared" ref="AZ228:AZ237" si="415">AW228/AV228</f>
        <v>0.97256515775034291</v>
      </c>
      <c r="BA228" s="558">
        <v>1138</v>
      </c>
      <c r="BB228" s="559">
        <v>1050</v>
      </c>
      <c r="BC228" s="559">
        <v>623</v>
      </c>
      <c r="BD228" s="559">
        <v>621</v>
      </c>
      <c r="BE228" s="560">
        <v>621</v>
      </c>
      <c r="BF228" s="561">
        <f t="shared" ref="BF228:BF232" si="416">BD228/BB228</f>
        <v>0.59142857142857141</v>
      </c>
      <c r="BG228" s="562">
        <f t="shared" ref="BG228:BG232" si="417">BD228/BC228</f>
        <v>0.9967897271268058</v>
      </c>
      <c r="BH228" s="558">
        <v>1018</v>
      </c>
      <c r="BI228" s="559">
        <v>931</v>
      </c>
      <c r="BJ228" s="559">
        <v>599</v>
      </c>
      <c r="BK228" s="559">
        <v>593</v>
      </c>
      <c r="BL228" s="560">
        <v>593</v>
      </c>
      <c r="BM228" s="561">
        <f t="shared" ref="BM228:BM232" si="418">BK228/BI228</f>
        <v>0.63694951664876476</v>
      </c>
      <c r="BN228" s="562">
        <f t="shared" ref="BN228:BN232" si="419">BK228/BJ228</f>
        <v>0.98998330550918201</v>
      </c>
      <c r="BO228" s="558">
        <v>821</v>
      </c>
      <c r="BP228" s="559">
        <v>767</v>
      </c>
      <c r="BQ228" s="559">
        <v>429</v>
      </c>
      <c r="BR228" s="559">
        <v>427</v>
      </c>
      <c r="BS228" s="560">
        <v>427</v>
      </c>
      <c r="BT228" s="561">
        <f t="shared" ref="BT228:BT232" si="420">BR228/BP228</f>
        <v>0.55671447196870927</v>
      </c>
      <c r="BU228" s="562">
        <f t="shared" ref="BU228:BU232" si="421">BR228/BQ228</f>
        <v>0.99533799533799538</v>
      </c>
      <c r="BV228" s="558">
        <v>728</v>
      </c>
      <c r="BW228" s="559">
        <v>683</v>
      </c>
      <c r="BX228" s="559">
        <v>549</v>
      </c>
      <c r="BY228" s="559">
        <v>541</v>
      </c>
      <c r="BZ228" s="560">
        <v>396</v>
      </c>
      <c r="CA228" s="561">
        <f t="shared" ref="CA228:CA232" si="422">BY228/BW228</f>
        <v>0.7920937042459737</v>
      </c>
      <c r="CB228" s="562">
        <f t="shared" ref="CB228:CB232" si="423">BY228/BX228</f>
        <v>0.98542805100182151</v>
      </c>
      <c r="CC228" s="558">
        <v>701</v>
      </c>
      <c r="CD228" s="559">
        <v>668</v>
      </c>
      <c r="CE228" s="559">
        <v>607</v>
      </c>
      <c r="CF228" s="559">
        <v>607</v>
      </c>
      <c r="CG228" s="560">
        <v>360</v>
      </c>
      <c r="CH228" s="561">
        <f t="shared" ref="CH228:CH229" si="424">CF228/CD228</f>
        <v>0.9086826347305389</v>
      </c>
      <c r="CI228" s="562">
        <f t="shared" ref="CI228:CI229" si="425">CF228/CE228</f>
        <v>1</v>
      </c>
      <c r="CJ228" s="558">
        <v>743</v>
      </c>
      <c r="CK228" s="559">
        <v>705</v>
      </c>
      <c r="CL228" s="559">
        <v>648</v>
      </c>
      <c r="CM228" s="559">
        <v>648</v>
      </c>
      <c r="CN228" s="560">
        <v>384</v>
      </c>
      <c r="CO228" s="561">
        <f t="shared" ref="CO228:CO229" si="426">CM228/CK228</f>
        <v>0.91914893617021276</v>
      </c>
      <c r="CP228" s="664">
        <f t="shared" ref="CP228:CP229" si="427">CM228/CL228</f>
        <v>1</v>
      </c>
      <c r="CQ228" s="561">
        <v>0.91914893617021276</v>
      </c>
      <c r="CR228" s="562">
        <v>1</v>
      </c>
      <c r="CS228" s="558">
        <v>669</v>
      </c>
      <c r="CT228" s="559">
        <v>640</v>
      </c>
      <c r="CU228" s="559">
        <v>640</v>
      </c>
      <c r="CV228" s="559">
        <v>581</v>
      </c>
      <c r="CW228" s="560">
        <v>372</v>
      </c>
      <c r="CX228" s="561">
        <f t="shared" ref="CX228:CX229" si="428">CV228/CT228</f>
        <v>0.90781250000000002</v>
      </c>
      <c r="CY228" s="664">
        <f t="shared" ref="CY228:CY229" si="429">CV228/CU228</f>
        <v>0.90781250000000002</v>
      </c>
      <c r="CZ228" s="561">
        <v>0.90781250000000002</v>
      </c>
      <c r="DA228" s="562">
        <v>0.90781250000000002</v>
      </c>
      <c r="DB228" s="558">
        <v>725</v>
      </c>
      <c r="DC228" s="559">
        <v>677</v>
      </c>
      <c r="DD228" s="559">
        <v>603</v>
      </c>
      <c r="DE228" s="559">
        <v>599</v>
      </c>
      <c r="DF228" s="560">
        <v>463</v>
      </c>
      <c r="DG228" s="561">
        <f t="shared" ref="DG228:DG229" si="430">DE228/DC228</f>
        <v>0.88478581979320536</v>
      </c>
      <c r="DH228" s="664">
        <f t="shared" ref="DH228:DH229" si="431">DE228/DD228</f>
        <v>0.99336650082918743</v>
      </c>
      <c r="DI228" s="561">
        <v>0.89069423929098968</v>
      </c>
      <c r="DJ228" s="562">
        <v>1</v>
      </c>
      <c r="DK228" s="558">
        <v>709</v>
      </c>
      <c r="DL228" s="559">
        <v>665</v>
      </c>
      <c r="DM228" s="559">
        <v>665</v>
      </c>
      <c r="DN228" s="559">
        <v>574</v>
      </c>
      <c r="DO228" s="560">
        <v>442</v>
      </c>
      <c r="DP228" s="561">
        <f t="shared" ref="DP228" si="432">DN228/DL228</f>
        <v>0.86315789473684212</v>
      </c>
      <c r="DQ228" s="664">
        <f t="shared" ref="DQ228" si="433">DN228/DM228</f>
        <v>0.86315789473684212</v>
      </c>
      <c r="DR228" s="561">
        <v>0.88421052631578945</v>
      </c>
      <c r="DS228" s="562">
        <v>0.88421052631578945</v>
      </c>
      <c r="DT228" s="558">
        <v>891</v>
      </c>
      <c r="DU228" s="559">
        <v>835</v>
      </c>
      <c r="DV228" s="559">
        <v>835</v>
      </c>
      <c r="DW228" s="559">
        <v>711</v>
      </c>
      <c r="DX228" s="560">
        <v>567</v>
      </c>
      <c r="DY228" s="561">
        <f t="shared" ref="DY228" si="434">DW228/DU228</f>
        <v>0.85149700598802391</v>
      </c>
      <c r="DZ228" s="664">
        <f t="shared" ref="DZ228" si="435">DW228/DV228</f>
        <v>0.85149700598802391</v>
      </c>
      <c r="EA228" s="561">
        <v>0.86826347305389218</v>
      </c>
      <c r="EB228" s="562">
        <v>0.86826347305389218</v>
      </c>
    </row>
    <row r="229" spans="1:132" s="2" customFormat="1" x14ac:dyDescent="0.25">
      <c r="A229" s="577" t="s">
        <v>575</v>
      </c>
      <c r="B229" s="489" t="s">
        <v>515</v>
      </c>
      <c r="C229" s="565" t="s">
        <v>199</v>
      </c>
      <c r="D229" s="558">
        <v>3115</v>
      </c>
      <c r="E229" s="559">
        <v>3088</v>
      </c>
      <c r="F229" s="559">
        <v>2970</v>
      </c>
      <c r="G229" s="559">
        <v>2385</v>
      </c>
      <c r="H229" s="560">
        <v>2339</v>
      </c>
      <c r="I229" s="561">
        <f t="shared" si="374"/>
        <v>0.7723445595854922</v>
      </c>
      <c r="J229" s="562">
        <f t="shared" si="375"/>
        <v>0.80303030303030298</v>
      </c>
      <c r="K229" s="558">
        <v>3313</v>
      </c>
      <c r="L229" s="559">
        <v>3277</v>
      </c>
      <c r="M229" s="559">
        <v>2761</v>
      </c>
      <c r="N229" s="559">
        <v>2454</v>
      </c>
      <c r="O229" s="560">
        <v>2454</v>
      </c>
      <c r="P229" s="561">
        <f t="shared" si="406"/>
        <v>0.74885566066524256</v>
      </c>
      <c r="Q229" s="562">
        <f t="shared" si="407"/>
        <v>0.88880840275262585</v>
      </c>
      <c r="R229" s="558">
        <v>2470</v>
      </c>
      <c r="S229" s="559">
        <v>2425</v>
      </c>
      <c r="T229" s="559">
        <v>1771</v>
      </c>
      <c r="U229" s="559">
        <v>1771</v>
      </c>
      <c r="V229" s="560">
        <v>1771</v>
      </c>
      <c r="W229" s="561">
        <f t="shared" si="372"/>
        <v>0.73030927835051551</v>
      </c>
      <c r="X229" s="562">
        <f t="shared" si="373"/>
        <v>1</v>
      </c>
      <c r="Y229" s="558">
        <v>2247</v>
      </c>
      <c r="Z229" s="559">
        <v>2241</v>
      </c>
      <c r="AA229" s="559">
        <v>1660</v>
      </c>
      <c r="AB229" s="559">
        <v>1660</v>
      </c>
      <c r="AC229" s="560">
        <v>1660</v>
      </c>
      <c r="AD229" s="561">
        <f t="shared" si="408"/>
        <v>0.7407407407407407</v>
      </c>
      <c r="AE229" s="562">
        <f t="shared" si="409"/>
        <v>1</v>
      </c>
      <c r="AF229" s="558">
        <v>2253</v>
      </c>
      <c r="AG229" s="559">
        <v>2250</v>
      </c>
      <c r="AH229" s="559">
        <v>1651</v>
      </c>
      <c r="AI229" s="559">
        <v>1651</v>
      </c>
      <c r="AJ229" s="560">
        <v>1651</v>
      </c>
      <c r="AK229" s="561">
        <f t="shared" si="410"/>
        <v>0.73377777777777775</v>
      </c>
      <c r="AL229" s="562">
        <f t="shared" si="411"/>
        <v>1</v>
      </c>
      <c r="AM229" s="558">
        <v>2098</v>
      </c>
      <c r="AN229" s="559">
        <v>2097</v>
      </c>
      <c r="AO229" s="559">
        <v>1462</v>
      </c>
      <c r="AP229" s="559">
        <v>1462</v>
      </c>
      <c r="AQ229" s="560">
        <v>1418</v>
      </c>
      <c r="AR229" s="561">
        <f t="shared" si="412"/>
        <v>0.6971864568431092</v>
      </c>
      <c r="AS229" s="562">
        <f t="shared" si="413"/>
        <v>1</v>
      </c>
      <c r="AT229" s="558">
        <v>1063</v>
      </c>
      <c r="AU229" s="559">
        <v>1062</v>
      </c>
      <c r="AV229" s="559">
        <v>646</v>
      </c>
      <c r="AW229" s="559">
        <v>646</v>
      </c>
      <c r="AX229" s="560">
        <v>635</v>
      </c>
      <c r="AY229" s="561">
        <f t="shared" si="414"/>
        <v>0.60828625235404898</v>
      </c>
      <c r="AZ229" s="562">
        <f t="shared" si="415"/>
        <v>1</v>
      </c>
      <c r="BA229" s="558">
        <v>1026</v>
      </c>
      <c r="BB229" s="559">
        <v>1026</v>
      </c>
      <c r="BC229" s="559">
        <v>680</v>
      </c>
      <c r="BD229" s="559">
        <v>680</v>
      </c>
      <c r="BE229" s="560">
        <v>680</v>
      </c>
      <c r="BF229" s="561">
        <f t="shared" si="416"/>
        <v>0.66276803118908378</v>
      </c>
      <c r="BG229" s="562">
        <f t="shared" si="417"/>
        <v>1</v>
      </c>
      <c r="BH229" s="558">
        <v>815</v>
      </c>
      <c r="BI229" s="559">
        <v>815</v>
      </c>
      <c r="BJ229" s="559">
        <v>528</v>
      </c>
      <c r="BK229" s="559">
        <v>528</v>
      </c>
      <c r="BL229" s="560">
        <v>528</v>
      </c>
      <c r="BM229" s="561">
        <f t="shared" si="418"/>
        <v>0.64785276073619635</v>
      </c>
      <c r="BN229" s="562">
        <f t="shared" si="419"/>
        <v>1</v>
      </c>
      <c r="BO229" s="558">
        <v>788</v>
      </c>
      <c r="BP229" s="559">
        <v>788</v>
      </c>
      <c r="BQ229" s="559">
        <v>498</v>
      </c>
      <c r="BR229" s="559">
        <v>498</v>
      </c>
      <c r="BS229" s="560">
        <v>498</v>
      </c>
      <c r="BT229" s="561">
        <f t="shared" si="420"/>
        <v>0.63197969543147203</v>
      </c>
      <c r="BU229" s="562">
        <f t="shared" si="421"/>
        <v>1</v>
      </c>
      <c r="BV229" s="558">
        <v>877</v>
      </c>
      <c r="BW229" s="559">
        <v>877</v>
      </c>
      <c r="BX229" s="559">
        <v>604</v>
      </c>
      <c r="BY229" s="559">
        <v>604</v>
      </c>
      <c r="BZ229" s="560">
        <v>604</v>
      </c>
      <c r="CA229" s="561">
        <f t="shared" si="422"/>
        <v>0.68871151653363738</v>
      </c>
      <c r="CB229" s="562">
        <f t="shared" si="423"/>
        <v>1</v>
      </c>
      <c r="CC229" s="558">
        <v>627</v>
      </c>
      <c r="CD229" s="559">
        <v>626</v>
      </c>
      <c r="CE229" s="559">
        <v>375</v>
      </c>
      <c r="CF229" s="559">
        <v>375</v>
      </c>
      <c r="CG229" s="560">
        <v>375</v>
      </c>
      <c r="CH229" s="561">
        <f t="shared" si="424"/>
        <v>0.59904153354632583</v>
      </c>
      <c r="CI229" s="562">
        <f t="shared" si="425"/>
        <v>1</v>
      </c>
      <c r="CJ229" s="558">
        <v>816</v>
      </c>
      <c r="CK229" s="559">
        <v>815</v>
      </c>
      <c r="CL229" s="559">
        <v>456</v>
      </c>
      <c r="CM229" s="559">
        <v>456</v>
      </c>
      <c r="CN229" s="560">
        <v>456</v>
      </c>
      <c r="CO229" s="561">
        <f t="shared" si="426"/>
        <v>0.55950920245398772</v>
      </c>
      <c r="CP229" s="664">
        <f t="shared" si="427"/>
        <v>1</v>
      </c>
      <c r="CQ229" s="561">
        <v>0.55950920245398772</v>
      </c>
      <c r="CR229" s="562">
        <v>1</v>
      </c>
      <c r="CS229" s="558">
        <v>754</v>
      </c>
      <c r="CT229" s="559">
        <v>754</v>
      </c>
      <c r="CU229" s="559">
        <v>485</v>
      </c>
      <c r="CV229" s="559">
        <v>485</v>
      </c>
      <c r="CW229" s="560">
        <v>485</v>
      </c>
      <c r="CX229" s="561">
        <f t="shared" si="428"/>
        <v>0.64323607427055707</v>
      </c>
      <c r="CY229" s="664">
        <f t="shared" si="429"/>
        <v>1</v>
      </c>
      <c r="CZ229" s="561">
        <v>0.64323607427055707</v>
      </c>
      <c r="DA229" s="562">
        <v>1</v>
      </c>
      <c r="DB229" s="558">
        <v>718</v>
      </c>
      <c r="DC229" s="559">
        <v>718</v>
      </c>
      <c r="DD229" s="559">
        <v>335</v>
      </c>
      <c r="DE229" s="559">
        <v>335</v>
      </c>
      <c r="DF229" s="560">
        <v>309</v>
      </c>
      <c r="DG229" s="561">
        <f t="shared" si="430"/>
        <v>0.46657381615598886</v>
      </c>
      <c r="DH229" s="664">
        <f t="shared" si="431"/>
        <v>1</v>
      </c>
      <c r="DI229" s="561">
        <v>0.46657381615598886</v>
      </c>
      <c r="DJ229" s="562">
        <v>1</v>
      </c>
      <c r="DK229" s="558" t="s">
        <v>67</v>
      </c>
      <c r="DL229" s="559" t="s">
        <v>67</v>
      </c>
      <c r="DM229" s="559" t="s">
        <v>67</v>
      </c>
      <c r="DN229" s="559" t="s">
        <v>67</v>
      </c>
      <c r="DO229" s="560" t="s">
        <v>67</v>
      </c>
      <c r="DP229" s="561" t="s">
        <v>67</v>
      </c>
      <c r="DQ229" s="664" t="s">
        <v>67</v>
      </c>
      <c r="DR229" s="561" t="s">
        <v>67</v>
      </c>
      <c r="DS229" s="562" t="s">
        <v>67</v>
      </c>
      <c r="DT229" s="558" t="s">
        <v>67</v>
      </c>
      <c r="DU229" s="559" t="s">
        <v>67</v>
      </c>
      <c r="DV229" s="559" t="s">
        <v>67</v>
      </c>
      <c r="DW229" s="559" t="s">
        <v>67</v>
      </c>
      <c r="DX229" s="560" t="s">
        <v>67</v>
      </c>
      <c r="DY229" s="561" t="s">
        <v>67</v>
      </c>
      <c r="DZ229" s="664" t="s">
        <v>67</v>
      </c>
      <c r="EA229" s="561" t="s">
        <v>67</v>
      </c>
      <c r="EB229" s="562" t="s">
        <v>67</v>
      </c>
    </row>
    <row r="230" spans="1:132" s="2" customFormat="1" x14ac:dyDescent="0.25">
      <c r="A230" s="577" t="s">
        <v>576</v>
      </c>
      <c r="B230" s="489" t="s">
        <v>516</v>
      </c>
      <c r="C230" s="565" t="s">
        <v>199</v>
      </c>
      <c r="D230" s="558">
        <v>285</v>
      </c>
      <c r="E230" s="559">
        <v>285</v>
      </c>
      <c r="F230" s="559">
        <v>219</v>
      </c>
      <c r="G230" s="559">
        <v>219</v>
      </c>
      <c r="H230" s="560">
        <v>219</v>
      </c>
      <c r="I230" s="561">
        <f t="shared" si="374"/>
        <v>0.76842105263157889</v>
      </c>
      <c r="J230" s="562">
        <f t="shared" si="375"/>
        <v>1</v>
      </c>
      <c r="K230" s="558">
        <v>335</v>
      </c>
      <c r="L230" s="559">
        <v>335</v>
      </c>
      <c r="M230" s="559">
        <v>290</v>
      </c>
      <c r="N230" s="559">
        <v>290</v>
      </c>
      <c r="O230" s="560">
        <v>290</v>
      </c>
      <c r="P230" s="561">
        <f t="shared" si="406"/>
        <v>0.86567164179104472</v>
      </c>
      <c r="Q230" s="562">
        <f t="shared" si="407"/>
        <v>1</v>
      </c>
      <c r="R230" s="558">
        <v>339</v>
      </c>
      <c r="S230" s="559">
        <v>339</v>
      </c>
      <c r="T230" s="559">
        <v>319</v>
      </c>
      <c r="U230" s="559">
        <v>284</v>
      </c>
      <c r="V230" s="560">
        <v>284</v>
      </c>
      <c r="W230" s="561">
        <f t="shared" si="372"/>
        <v>0.83775811209439532</v>
      </c>
      <c r="X230" s="562">
        <f t="shared" si="373"/>
        <v>0.89028213166144199</v>
      </c>
      <c r="Y230" s="558">
        <v>368</v>
      </c>
      <c r="Z230" s="559">
        <v>368</v>
      </c>
      <c r="AA230" s="559">
        <v>367</v>
      </c>
      <c r="AB230" s="559">
        <v>364</v>
      </c>
      <c r="AC230" s="560">
        <v>296</v>
      </c>
      <c r="AD230" s="561">
        <f t="shared" si="408"/>
        <v>0.98913043478260865</v>
      </c>
      <c r="AE230" s="562">
        <f t="shared" si="409"/>
        <v>0.99182561307901906</v>
      </c>
      <c r="AF230" s="558">
        <v>311</v>
      </c>
      <c r="AG230" s="559">
        <v>299</v>
      </c>
      <c r="AH230" s="559">
        <v>292</v>
      </c>
      <c r="AI230" s="559">
        <v>281</v>
      </c>
      <c r="AJ230" s="560">
        <v>259</v>
      </c>
      <c r="AK230" s="561">
        <f t="shared" si="410"/>
        <v>0.93979933110367897</v>
      </c>
      <c r="AL230" s="562">
        <f t="shared" si="411"/>
        <v>0.96232876712328763</v>
      </c>
      <c r="AM230" s="558">
        <v>178</v>
      </c>
      <c r="AN230" s="559">
        <v>178</v>
      </c>
      <c r="AO230" s="559">
        <v>177</v>
      </c>
      <c r="AP230" s="559">
        <v>162</v>
      </c>
      <c r="AQ230" s="560">
        <v>141</v>
      </c>
      <c r="AR230" s="561">
        <f t="shared" si="412"/>
        <v>0.9101123595505618</v>
      </c>
      <c r="AS230" s="562">
        <f t="shared" si="413"/>
        <v>0.9152542372881356</v>
      </c>
      <c r="AT230" s="558">
        <v>210</v>
      </c>
      <c r="AU230" s="559">
        <v>208</v>
      </c>
      <c r="AV230" s="559">
        <v>208</v>
      </c>
      <c r="AW230" s="559">
        <v>177</v>
      </c>
      <c r="AX230" s="560">
        <v>172</v>
      </c>
      <c r="AY230" s="561">
        <f t="shared" si="414"/>
        <v>0.85096153846153844</v>
      </c>
      <c r="AZ230" s="562">
        <f t="shared" si="415"/>
        <v>0.85096153846153844</v>
      </c>
      <c r="BA230" s="558">
        <v>220</v>
      </c>
      <c r="BB230" s="559">
        <v>219</v>
      </c>
      <c r="BC230" s="559">
        <v>219</v>
      </c>
      <c r="BD230" s="559">
        <v>181</v>
      </c>
      <c r="BE230" s="560">
        <v>180</v>
      </c>
      <c r="BF230" s="561">
        <f t="shared" si="416"/>
        <v>0.82648401826484019</v>
      </c>
      <c r="BG230" s="562">
        <f t="shared" si="417"/>
        <v>0.82648401826484019</v>
      </c>
      <c r="BH230" s="558">
        <v>245</v>
      </c>
      <c r="BI230" s="559">
        <v>243</v>
      </c>
      <c r="BJ230" s="559">
        <v>243</v>
      </c>
      <c r="BK230" s="559">
        <v>242</v>
      </c>
      <c r="BL230" s="560">
        <v>159</v>
      </c>
      <c r="BM230" s="561">
        <f t="shared" si="418"/>
        <v>0.99588477366255146</v>
      </c>
      <c r="BN230" s="562">
        <f t="shared" si="419"/>
        <v>0.99588477366255146</v>
      </c>
      <c r="BO230" s="558">
        <v>55</v>
      </c>
      <c r="BP230" s="559">
        <v>55</v>
      </c>
      <c r="BQ230" s="559">
        <v>55</v>
      </c>
      <c r="BR230" s="559">
        <v>33</v>
      </c>
      <c r="BS230" s="560">
        <v>33</v>
      </c>
      <c r="BT230" s="561">
        <f t="shared" si="420"/>
        <v>0.6</v>
      </c>
      <c r="BU230" s="562">
        <f t="shared" si="421"/>
        <v>0.6</v>
      </c>
      <c r="BV230" s="558" t="s">
        <v>67</v>
      </c>
      <c r="BW230" s="559" t="s">
        <v>67</v>
      </c>
      <c r="BX230" s="559" t="s">
        <v>67</v>
      </c>
      <c r="BY230" s="559" t="s">
        <v>67</v>
      </c>
      <c r="BZ230" s="560" t="s">
        <v>67</v>
      </c>
      <c r="CA230" s="561" t="s">
        <v>67</v>
      </c>
      <c r="CB230" s="562" t="s">
        <v>67</v>
      </c>
      <c r="CC230" s="558" t="s">
        <v>67</v>
      </c>
      <c r="CD230" s="559" t="s">
        <v>67</v>
      </c>
      <c r="CE230" s="559" t="s">
        <v>67</v>
      </c>
      <c r="CF230" s="559" t="s">
        <v>67</v>
      </c>
      <c r="CG230" s="560" t="s">
        <v>67</v>
      </c>
      <c r="CH230" s="561" t="s">
        <v>67</v>
      </c>
      <c r="CI230" s="562" t="s">
        <v>67</v>
      </c>
      <c r="CJ230" s="558"/>
      <c r="CK230" s="559"/>
      <c r="CL230" s="559"/>
      <c r="CM230" s="559"/>
      <c r="CN230" s="560"/>
      <c r="CO230" s="561" t="s">
        <v>67</v>
      </c>
      <c r="CP230" s="664" t="s">
        <v>67</v>
      </c>
      <c r="CQ230" s="561" t="s">
        <v>67</v>
      </c>
      <c r="CR230" s="562" t="s">
        <v>67</v>
      </c>
      <c r="CS230" s="558" t="s">
        <v>67</v>
      </c>
      <c r="CT230" s="559" t="s">
        <v>67</v>
      </c>
      <c r="CU230" s="559" t="s">
        <v>67</v>
      </c>
      <c r="CV230" s="559" t="s">
        <v>67</v>
      </c>
      <c r="CW230" s="560" t="s">
        <v>67</v>
      </c>
      <c r="CX230" s="561" t="s">
        <v>67</v>
      </c>
      <c r="CY230" s="664" t="s">
        <v>67</v>
      </c>
      <c r="CZ230" s="561" t="s">
        <v>67</v>
      </c>
      <c r="DA230" s="562" t="s">
        <v>67</v>
      </c>
      <c r="DB230" s="558" t="s">
        <v>67</v>
      </c>
      <c r="DC230" s="559" t="s">
        <v>67</v>
      </c>
      <c r="DD230" s="559" t="s">
        <v>67</v>
      </c>
      <c r="DE230" s="559" t="s">
        <v>67</v>
      </c>
      <c r="DF230" s="560" t="s">
        <v>67</v>
      </c>
      <c r="DG230" s="561" t="s">
        <v>67</v>
      </c>
      <c r="DH230" s="664" t="s">
        <v>67</v>
      </c>
      <c r="DI230" s="561" t="s">
        <v>67</v>
      </c>
      <c r="DJ230" s="562" t="s">
        <v>67</v>
      </c>
      <c r="DK230" s="558" t="s">
        <v>67</v>
      </c>
      <c r="DL230" s="559" t="s">
        <v>67</v>
      </c>
      <c r="DM230" s="559" t="s">
        <v>67</v>
      </c>
      <c r="DN230" s="559" t="s">
        <v>67</v>
      </c>
      <c r="DO230" s="560" t="s">
        <v>67</v>
      </c>
      <c r="DP230" s="561" t="s">
        <v>67</v>
      </c>
      <c r="DQ230" s="664" t="s">
        <v>67</v>
      </c>
      <c r="DR230" s="561" t="s">
        <v>67</v>
      </c>
      <c r="DS230" s="562" t="s">
        <v>67</v>
      </c>
      <c r="DT230" s="558" t="s">
        <v>67</v>
      </c>
      <c r="DU230" s="559" t="s">
        <v>67</v>
      </c>
      <c r="DV230" s="559" t="s">
        <v>67</v>
      </c>
      <c r="DW230" s="559" t="s">
        <v>67</v>
      </c>
      <c r="DX230" s="560" t="s">
        <v>67</v>
      </c>
      <c r="DY230" s="561" t="s">
        <v>67</v>
      </c>
      <c r="DZ230" s="664" t="s">
        <v>67</v>
      </c>
      <c r="EA230" s="561" t="s">
        <v>67</v>
      </c>
      <c r="EB230" s="562" t="s">
        <v>67</v>
      </c>
    </row>
    <row r="231" spans="1:132" s="2" customFormat="1" x14ac:dyDescent="0.25">
      <c r="A231" s="577" t="s">
        <v>617</v>
      </c>
      <c r="B231" s="489" t="s">
        <v>517</v>
      </c>
      <c r="C231" s="565" t="s">
        <v>199</v>
      </c>
      <c r="D231" s="558">
        <v>58</v>
      </c>
      <c r="E231" s="559">
        <v>58</v>
      </c>
      <c r="F231" s="559">
        <v>58</v>
      </c>
      <c r="G231" s="559">
        <v>55</v>
      </c>
      <c r="H231" s="560">
        <v>55</v>
      </c>
      <c r="I231" s="561">
        <f t="shared" si="374"/>
        <v>0.94827586206896552</v>
      </c>
      <c r="J231" s="562">
        <f t="shared" si="375"/>
        <v>0.94827586206896552</v>
      </c>
      <c r="K231" s="558">
        <v>58</v>
      </c>
      <c r="L231" s="559">
        <v>56</v>
      </c>
      <c r="M231" s="559">
        <v>56</v>
      </c>
      <c r="N231" s="559">
        <v>51</v>
      </c>
      <c r="O231" s="560">
        <v>50</v>
      </c>
      <c r="P231" s="561">
        <f t="shared" si="406"/>
        <v>0.9107142857142857</v>
      </c>
      <c r="Q231" s="562">
        <f t="shared" si="407"/>
        <v>0.9107142857142857</v>
      </c>
      <c r="R231" s="558">
        <v>40</v>
      </c>
      <c r="S231" s="559">
        <v>40</v>
      </c>
      <c r="T231" s="559">
        <v>40</v>
      </c>
      <c r="U231" s="559">
        <v>38</v>
      </c>
      <c r="V231" s="560">
        <v>38</v>
      </c>
      <c r="W231" s="561">
        <f t="shared" si="372"/>
        <v>0.95</v>
      </c>
      <c r="X231" s="562">
        <f t="shared" si="373"/>
        <v>0.95</v>
      </c>
      <c r="Y231" s="558">
        <v>62</v>
      </c>
      <c r="Z231" s="559">
        <v>61</v>
      </c>
      <c r="AA231" s="559">
        <v>61</v>
      </c>
      <c r="AB231" s="559">
        <v>48</v>
      </c>
      <c r="AC231" s="560">
        <v>40</v>
      </c>
      <c r="AD231" s="561">
        <f t="shared" si="408"/>
        <v>0.78688524590163933</v>
      </c>
      <c r="AE231" s="562">
        <f t="shared" si="409"/>
        <v>0.78688524590163933</v>
      </c>
      <c r="AF231" s="558">
        <v>55</v>
      </c>
      <c r="AG231" s="559">
        <v>51</v>
      </c>
      <c r="AH231" s="559">
        <v>51</v>
      </c>
      <c r="AI231" s="559">
        <v>41</v>
      </c>
      <c r="AJ231" s="560">
        <v>39</v>
      </c>
      <c r="AK231" s="561">
        <f t="shared" si="410"/>
        <v>0.80392156862745101</v>
      </c>
      <c r="AL231" s="562">
        <f t="shared" si="411"/>
        <v>0.80392156862745101</v>
      </c>
      <c r="AM231" s="558">
        <v>53</v>
      </c>
      <c r="AN231" s="559">
        <v>45</v>
      </c>
      <c r="AO231" s="559">
        <v>45</v>
      </c>
      <c r="AP231" s="559">
        <v>35</v>
      </c>
      <c r="AQ231" s="560">
        <v>33</v>
      </c>
      <c r="AR231" s="561">
        <f t="shared" si="412"/>
        <v>0.77777777777777779</v>
      </c>
      <c r="AS231" s="562">
        <f t="shared" si="413"/>
        <v>0.77777777777777779</v>
      </c>
      <c r="AT231" s="558">
        <v>62</v>
      </c>
      <c r="AU231" s="559">
        <v>54</v>
      </c>
      <c r="AV231" s="559">
        <v>54</v>
      </c>
      <c r="AW231" s="559">
        <v>43</v>
      </c>
      <c r="AX231" s="560">
        <v>40</v>
      </c>
      <c r="AY231" s="561">
        <f t="shared" si="414"/>
        <v>0.79629629629629628</v>
      </c>
      <c r="AZ231" s="562">
        <f t="shared" si="415"/>
        <v>0.79629629629629628</v>
      </c>
      <c r="BA231" s="558">
        <v>13</v>
      </c>
      <c r="BB231" s="559">
        <v>11</v>
      </c>
      <c r="BC231" s="559">
        <v>11</v>
      </c>
      <c r="BD231" s="559">
        <v>5</v>
      </c>
      <c r="BE231" s="560">
        <v>5</v>
      </c>
      <c r="BF231" s="561">
        <f t="shared" si="416"/>
        <v>0.45454545454545453</v>
      </c>
      <c r="BG231" s="562">
        <f t="shared" si="417"/>
        <v>0.45454545454545453</v>
      </c>
      <c r="BH231" s="558">
        <v>28</v>
      </c>
      <c r="BI231" s="559">
        <v>28</v>
      </c>
      <c r="BJ231" s="559">
        <v>28</v>
      </c>
      <c r="BK231" s="559">
        <v>28</v>
      </c>
      <c r="BL231" s="560">
        <v>25</v>
      </c>
      <c r="BM231" s="561">
        <f t="shared" si="418"/>
        <v>1</v>
      </c>
      <c r="BN231" s="562">
        <f t="shared" si="419"/>
        <v>1</v>
      </c>
      <c r="BO231" s="558">
        <v>37</v>
      </c>
      <c r="BP231" s="559">
        <v>37</v>
      </c>
      <c r="BQ231" s="559">
        <v>37</v>
      </c>
      <c r="BR231" s="559">
        <v>37</v>
      </c>
      <c r="BS231" s="560">
        <v>34</v>
      </c>
      <c r="BT231" s="561">
        <f t="shared" si="420"/>
        <v>1</v>
      </c>
      <c r="BU231" s="562">
        <f t="shared" si="421"/>
        <v>1</v>
      </c>
      <c r="BV231" s="558">
        <v>37</v>
      </c>
      <c r="BW231" s="559">
        <v>37</v>
      </c>
      <c r="BX231" s="559">
        <v>37</v>
      </c>
      <c r="BY231" s="559">
        <v>37</v>
      </c>
      <c r="BZ231" s="560">
        <v>35</v>
      </c>
      <c r="CA231" s="561">
        <f t="shared" si="422"/>
        <v>1</v>
      </c>
      <c r="CB231" s="562">
        <f t="shared" si="423"/>
        <v>1</v>
      </c>
      <c r="CC231" s="558">
        <v>29</v>
      </c>
      <c r="CD231" s="559">
        <v>26</v>
      </c>
      <c r="CE231" s="559">
        <v>26</v>
      </c>
      <c r="CF231" s="559">
        <v>26</v>
      </c>
      <c r="CG231" s="560">
        <v>24</v>
      </c>
      <c r="CH231" s="561">
        <f t="shared" ref="CH231:CH232" si="436">CF231/CD231</f>
        <v>1</v>
      </c>
      <c r="CI231" s="562">
        <f t="shared" ref="CI231:CI232" si="437">CF231/CE231</f>
        <v>1</v>
      </c>
      <c r="CJ231" s="558">
        <v>25</v>
      </c>
      <c r="CK231" s="559">
        <v>24</v>
      </c>
      <c r="CL231" s="559">
        <v>24</v>
      </c>
      <c r="CM231" s="559">
        <v>24</v>
      </c>
      <c r="CN231" s="560">
        <v>13</v>
      </c>
      <c r="CO231" s="561">
        <f t="shared" ref="CO231:CO232" si="438">CM231/CK231</f>
        <v>1</v>
      </c>
      <c r="CP231" s="664">
        <f t="shared" ref="CP231:CP232" si="439">CM231/CL231</f>
        <v>1</v>
      </c>
      <c r="CQ231" s="561">
        <v>1</v>
      </c>
      <c r="CR231" s="562">
        <v>1</v>
      </c>
      <c r="CS231" s="558">
        <v>21</v>
      </c>
      <c r="CT231" s="559">
        <v>20</v>
      </c>
      <c r="CU231" s="559">
        <v>20</v>
      </c>
      <c r="CV231" s="559">
        <v>19</v>
      </c>
      <c r="CW231" s="560">
        <v>5</v>
      </c>
      <c r="CX231" s="561">
        <f t="shared" ref="CX231:CX232" si="440">CV231/CT231</f>
        <v>0.95</v>
      </c>
      <c r="CY231" s="664">
        <f t="shared" ref="CY231:CY232" si="441">CV231/CU231</f>
        <v>0.95</v>
      </c>
      <c r="CZ231" s="561">
        <v>0.95</v>
      </c>
      <c r="DA231" s="562">
        <v>0.95</v>
      </c>
      <c r="DB231" s="558">
        <v>40</v>
      </c>
      <c r="DC231" s="559">
        <v>38</v>
      </c>
      <c r="DD231" s="559">
        <v>38</v>
      </c>
      <c r="DE231" s="559">
        <v>38</v>
      </c>
      <c r="DF231" s="560">
        <v>16</v>
      </c>
      <c r="DG231" s="561">
        <f t="shared" ref="DG231:DG232" si="442">DE231/DC231</f>
        <v>1</v>
      </c>
      <c r="DH231" s="664">
        <f t="shared" ref="DH231:DH232" si="443">DE231/DD231</f>
        <v>1</v>
      </c>
      <c r="DI231" s="561">
        <v>1</v>
      </c>
      <c r="DJ231" s="562">
        <v>1</v>
      </c>
      <c r="DK231" s="558">
        <v>25</v>
      </c>
      <c r="DL231" s="559">
        <v>24</v>
      </c>
      <c r="DM231" s="559">
        <v>24</v>
      </c>
      <c r="DN231" s="559">
        <v>24</v>
      </c>
      <c r="DO231" s="560">
        <v>1</v>
      </c>
      <c r="DP231" s="561">
        <f t="shared" ref="DP231:DP232" si="444">DN231/DL231</f>
        <v>1</v>
      </c>
      <c r="DQ231" s="664">
        <f t="shared" ref="DQ231:DQ232" si="445">DN231/DM231</f>
        <v>1</v>
      </c>
      <c r="DR231" s="561">
        <v>1</v>
      </c>
      <c r="DS231" s="562">
        <v>1</v>
      </c>
      <c r="DT231" s="558" t="s">
        <v>67</v>
      </c>
      <c r="DU231" s="559" t="s">
        <v>67</v>
      </c>
      <c r="DV231" s="559" t="s">
        <v>67</v>
      </c>
      <c r="DW231" s="559" t="s">
        <v>67</v>
      </c>
      <c r="DX231" s="560" t="s">
        <v>67</v>
      </c>
      <c r="DY231" s="561" t="s">
        <v>67</v>
      </c>
      <c r="DZ231" s="664" t="s">
        <v>67</v>
      </c>
      <c r="EA231" s="561" t="s">
        <v>67</v>
      </c>
      <c r="EB231" s="562" t="s">
        <v>67</v>
      </c>
    </row>
    <row r="232" spans="1:132" s="2" customFormat="1" x14ac:dyDescent="0.25">
      <c r="A232" s="577" t="s">
        <v>577</v>
      </c>
      <c r="B232" s="489" t="s">
        <v>518</v>
      </c>
      <c r="C232" s="565" t="s">
        <v>199</v>
      </c>
      <c r="D232" s="558">
        <v>82</v>
      </c>
      <c r="E232" s="579">
        <v>81</v>
      </c>
      <c r="F232" s="559">
        <v>68</v>
      </c>
      <c r="G232" s="559">
        <v>49</v>
      </c>
      <c r="H232" s="560">
        <v>42</v>
      </c>
      <c r="I232" s="561">
        <f t="shared" si="374"/>
        <v>0.60493827160493829</v>
      </c>
      <c r="J232" s="562">
        <f t="shared" si="375"/>
        <v>0.72058823529411764</v>
      </c>
      <c r="K232" s="558">
        <v>117</v>
      </c>
      <c r="L232" s="579">
        <v>113</v>
      </c>
      <c r="M232" s="559">
        <v>90</v>
      </c>
      <c r="N232" s="559">
        <v>60</v>
      </c>
      <c r="O232" s="560">
        <v>55</v>
      </c>
      <c r="P232" s="561">
        <f t="shared" si="406"/>
        <v>0.53097345132743368</v>
      </c>
      <c r="Q232" s="562">
        <f t="shared" si="407"/>
        <v>0.66666666666666663</v>
      </c>
      <c r="R232" s="558">
        <v>167</v>
      </c>
      <c r="S232" s="579">
        <v>164</v>
      </c>
      <c r="T232" s="559">
        <v>108</v>
      </c>
      <c r="U232" s="559">
        <v>83</v>
      </c>
      <c r="V232" s="560">
        <v>62</v>
      </c>
      <c r="W232" s="561">
        <f t="shared" si="372"/>
        <v>0.50609756097560976</v>
      </c>
      <c r="X232" s="562">
        <f t="shared" si="373"/>
        <v>0.76851851851851849</v>
      </c>
      <c r="Y232" s="558">
        <v>177</v>
      </c>
      <c r="Z232" s="579">
        <v>177</v>
      </c>
      <c r="AA232" s="559">
        <v>138</v>
      </c>
      <c r="AB232" s="559">
        <v>89</v>
      </c>
      <c r="AC232" s="560">
        <v>82</v>
      </c>
      <c r="AD232" s="561">
        <f t="shared" si="408"/>
        <v>0.50282485875706218</v>
      </c>
      <c r="AE232" s="562">
        <f t="shared" si="409"/>
        <v>0.64492753623188404</v>
      </c>
      <c r="AF232" s="558">
        <v>163</v>
      </c>
      <c r="AG232" s="579">
        <v>163</v>
      </c>
      <c r="AH232" s="559">
        <v>124</v>
      </c>
      <c r="AI232" s="559">
        <v>75</v>
      </c>
      <c r="AJ232" s="560">
        <v>60</v>
      </c>
      <c r="AK232" s="561">
        <f t="shared" si="410"/>
        <v>0.46012269938650308</v>
      </c>
      <c r="AL232" s="562">
        <f t="shared" si="411"/>
        <v>0.60483870967741937</v>
      </c>
      <c r="AM232" s="558">
        <v>172</v>
      </c>
      <c r="AN232" s="579">
        <v>172</v>
      </c>
      <c r="AO232" s="559">
        <v>136</v>
      </c>
      <c r="AP232" s="559">
        <v>75</v>
      </c>
      <c r="AQ232" s="560">
        <v>59</v>
      </c>
      <c r="AR232" s="561">
        <f t="shared" si="412"/>
        <v>0.43604651162790697</v>
      </c>
      <c r="AS232" s="562">
        <f t="shared" si="413"/>
        <v>0.55147058823529416</v>
      </c>
      <c r="AT232" s="558">
        <v>163</v>
      </c>
      <c r="AU232" s="579">
        <v>163</v>
      </c>
      <c r="AV232" s="559">
        <v>127</v>
      </c>
      <c r="AW232" s="559">
        <v>73</v>
      </c>
      <c r="AX232" s="560">
        <v>60</v>
      </c>
      <c r="AY232" s="561">
        <f t="shared" si="414"/>
        <v>0.44785276073619634</v>
      </c>
      <c r="AZ232" s="562">
        <f t="shared" si="415"/>
        <v>0.57480314960629919</v>
      </c>
      <c r="BA232" s="558">
        <v>158</v>
      </c>
      <c r="BB232" s="579">
        <v>158</v>
      </c>
      <c r="BC232" s="559">
        <v>123</v>
      </c>
      <c r="BD232" s="559">
        <v>73</v>
      </c>
      <c r="BE232" s="560">
        <v>60</v>
      </c>
      <c r="BF232" s="561">
        <f t="shared" si="416"/>
        <v>0.46202531645569622</v>
      </c>
      <c r="BG232" s="562">
        <f t="shared" si="417"/>
        <v>0.5934959349593496</v>
      </c>
      <c r="BH232" s="558">
        <v>155</v>
      </c>
      <c r="BI232" s="579">
        <v>154</v>
      </c>
      <c r="BJ232" s="559">
        <v>118</v>
      </c>
      <c r="BK232" s="559">
        <v>70</v>
      </c>
      <c r="BL232" s="560">
        <v>49</v>
      </c>
      <c r="BM232" s="561">
        <f t="shared" si="418"/>
        <v>0.45454545454545453</v>
      </c>
      <c r="BN232" s="562">
        <f t="shared" si="419"/>
        <v>0.59322033898305082</v>
      </c>
      <c r="BO232" s="558">
        <v>148</v>
      </c>
      <c r="BP232" s="579">
        <v>148</v>
      </c>
      <c r="BQ232" s="559">
        <v>112</v>
      </c>
      <c r="BR232" s="559">
        <v>75</v>
      </c>
      <c r="BS232" s="560">
        <v>57</v>
      </c>
      <c r="BT232" s="561">
        <f t="shared" si="420"/>
        <v>0.5067567567567568</v>
      </c>
      <c r="BU232" s="562">
        <f t="shared" si="421"/>
        <v>0.6696428571428571</v>
      </c>
      <c r="BV232" s="558">
        <v>171</v>
      </c>
      <c r="BW232" s="579">
        <v>171</v>
      </c>
      <c r="BX232" s="559">
        <v>124</v>
      </c>
      <c r="BY232" s="559">
        <v>75</v>
      </c>
      <c r="BZ232" s="560">
        <v>55</v>
      </c>
      <c r="CA232" s="561">
        <f t="shared" si="422"/>
        <v>0.43859649122807015</v>
      </c>
      <c r="CB232" s="562">
        <f t="shared" si="423"/>
        <v>0.60483870967741937</v>
      </c>
      <c r="CC232" s="558">
        <v>146</v>
      </c>
      <c r="CD232" s="579">
        <v>146</v>
      </c>
      <c r="CE232" s="559">
        <v>120</v>
      </c>
      <c r="CF232" s="559">
        <v>64</v>
      </c>
      <c r="CG232" s="560">
        <v>57</v>
      </c>
      <c r="CH232" s="561">
        <f t="shared" si="436"/>
        <v>0.43835616438356162</v>
      </c>
      <c r="CI232" s="562">
        <f t="shared" si="437"/>
        <v>0.53333333333333333</v>
      </c>
      <c r="CJ232" s="558">
        <v>266</v>
      </c>
      <c r="CK232" s="579">
        <v>265</v>
      </c>
      <c r="CL232" s="559">
        <v>173</v>
      </c>
      <c r="CM232" s="559">
        <v>93</v>
      </c>
      <c r="CN232" s="560">
        <v>66</v>
      </c>
      <c r="CO232" s="561">
        <f t="shared" si="438"/>
        <v>0.35094339622641507</v>
      </c>
      <c r="CP232" s="664">
        <f t="shared" si="439"/>
        <v>0.53757225433526012</v>
      </c>
      <c r="CQ232" s="561">
        <v>0.35094339622641507</v>
      </c>
      <c r="CR232" s="562">
        <v>0.53757225433526012</v>
      </c>
      <c r="CS232" s="558">
        <v>219</v>
      </c>
      <c r="CT232" s="579">
        <v>218</v>
      </c>
      <c r="CU232" s="559">
        <v>151</v>
      </c>
      <c r="CV232" s="559">
        <v>81</v>
      </c>
      <c r="CW232" s="560">
        <v>64</v>
      </c>
      <c r="CX232" s="561">
        <f t="shared" si="440"/>
        <v>0.37155963302752293</v>
      </c>
      <c r="CY232" s="664">
        <f t="shared" si="441"/>
        <v>0.53642384105960261</v>
      </c>
      <c r="CZ232" s="561">
        <v>0.37155963302752293</v>
      </c>
      <c r="DA232" s="562">
        <v>0.53642384105960261</v>
      </c>
      <c r="DB232" s="558">
        <v>239</v>
      </c>
      <c r="DC232" s="579">
        <v>238</v>
      </c>
      <c r="DD232" s="559">
        <v>179</v>
      </c>
      <c r="DE232" s="559">
        <v>92</v>
      </c>
      <c r="DF232" s="560">
        <v>67</v>
      </c>
      <c r="DG232" s="561">
        <f t="shared" si="442"/>
        <v>0.38655462184873951</v>
      </c>
      <c r="DH232" s="664">
        <f t="shared" si="443"/>
        <v>0.51396648044692739</v>
      </c>
      <c r="DI232" s="561">
        <v>0.38655462184873951</v>
      </c>
      <c r="DJ232" s="562">
        <v>0.51396648044692739</v>
      </c>
      <c r="DK232" s="558">
        <v>270</v>
      </c>
      <c r="DL232" s="579">
        <v>270</v>
      </c>
      <c r="DM232" s="559">
        <v>217</v>
      </c>
      <c r="DN232" s="559">
        <v>92</v>
      </c>
      <c r="DO232" s="560">
        <v>73</v>
      </c>
      <c r="DP232" s="561">
        <f t="shared" si="444"/>
        <v>0.34074074074074073</v>
      </c>
      <c r="DQ232" s="664">
        <f t="shared" si="445"/>
        <v>0.42396313364055299</v>
      </c>
      <c r="DR232" s="561">
        <v>0.34074074074074073</v>
      </c>
      <c r="DS232" s="562">
        <v>0.42396313364055299</v>
      </c>
      <c r="DT232" s="558">
        <v>266</v>
      </c>
      <c r="DU232" s="579">
        <v>266</v>
      </c>
      <c r="DV232" s="559">
        <v>173</v>
      </c>
      <c r="DW232" s="559">
        <v>82</v>
      </c>
      <c r="DX232" s="560">
        <v>65</v>
      </c>
      <c r="DY232" s="561">
        <f t="shared" ref="DY232" si="446">DW232/DU232</f>
        <v>0.30827067669172931</v>
      </c>
      <c r="DZ232" s="664">
        <f t="shared" ref="DZ232" si="447">DW232/DV232</f>
        <v>0.47398843930635837</v>
      </c>
      <c r="EA232" s="561">
        <v>0.30827067669172931</v>
      </c>
      <c r="EB232" s="562">
        <v>0.47398843930635837</v>
      </c>
    </row>
    <row r="233" spans="1:132" s="2" customFormat="1" ht="25.5" x14ac:dyDescent="0.25">
      <c r="A233" s="577" t="s">
        <v>519</v>
      </c>
      <c r="B233" s="489" t="s">
        <v>520</v>
      </c>
      <c r="C233" s="565" t="s">
        <v>199</v>
      </c>
      <c r="D233" s="558">
        <v>147</v>
      </c>
      <c r="E233" s="559">
        <v>147</v>
      </c>
      <c r="F233" s="559">
        <v>124</v>
      </c>
      <c r="G233" s="559">
        <v>113</v>
      </c>
      <c r="H233" s="560">
        <v>106</v>
      </c>
      <c r="I233" s="561">
        <f t="shared" si="374"/>
        <v>0.76870748299319724</v>
      </c>
      <c r="J233" s="562">
        <f t="shared" si="375"/>
        <v>0.91129032258064513</v>
      </c>
      <c r="K233" s="558">
        <v>483</v>
      </c>
      <c r="L233" s="559">
        <v>479</v>
      </c>
      <c r="M233" s="559">
        <v>364</v>
      </c>
      <c r="N233" s="559">
        <v>306</v>
      </c>
      <c r="O233" s="560">
        <v>244</v>
      </c>
      <c r="P233" s="561">
        <f t="shared" si="406"/>
        <v>0.63883089770354906</v>
      </c>
      <c r="Q233" s="562">
        <f t="shared" si="407"/>
        <v>0.84065934065934067</v>
      </c>
      <c r="R233" s="558">
        <v>338</v>
      </c>
      <c r="S233" s="559">
        <v>338</v>
      </c>
      <c r="T233" s="559">
        <v>261</v>
      </c>
      <c r="U233" s="559">
        <v>245</v>
      </c>
      <c r="V233" s="560">
        <v>190</v>
      </c>
      <c r="W233" s="561">
        <f t="shared" si="372"/>
        <v>0.7248520710059172</v>
      </c>
      <c r="X233" s="562">
        <f t="shared" si="373"/>
        <v>0.93869731800766287</v>
      </c>
      <c r="Y233" s="558">
        <v>284</v>
      </c>
      <c r="Z233" s="559">
        <v>284</v>
      </c>
      <c r="AA233" s="559">
        <v>219</v>
      </c>
      <c r="AB233" s="559">
        <v>219</v>
      </c>
      <c r="AC233" s="560">
        <v>140</v>
      </c>
      <c r="AD233" s="561">
        <f t="shared" si="408"/>
        <v>0.77112676056338025</v>
      </c>
      <c r="AE233" s="562">
        <f t="shared" si="409"/>
        <v>1</v>
      </c>
      <c r="AF233" s="558">
        <v>20</v>
      </c>
      <c r="AG233" s="559">
        <v>20</v>
      </c>
      <c r="AH233" s="559">
        <v>15</v>
      </c>
      <c r="AI233" s="559">
        <v>15</v>
      </c>
      <c r="AJ233" s="560">
        <v>13</v>
      </c>
      <c r="AK233" s="561">
        <f t="shared" si="410"/>
        <v>0.75</v>
      </c>
      <c r="AL233" s="562">
        <f t="shared" si="411"/>
        <v>1</v>
      </c>
      <c r="AM233" s="558">
        <v>24</v>
      </c>
      <c r="AN233" s="559">
        <v>24</v>
      </c>
      <c r="AO233" s="559">
        <v>14</v>
      </c>
      <c r="AP233" s="559">
        <v>14</v>
      </c>
      <c r="AQ233" s="560">
        <v>11</v>
      </c>
      <c r="AR233" s="561">
        <f t="shared" si="412"/>
        <v>0.58333333333333337</v>
      </c>
      <c r="AS233" s="562">
        <f t="shared" si="413"/>
        <v>1</v>
      </c>
      <c r="AT233" s="558" t="s">
        <v>67</v>
      </c>
      <c r="AU233" s="559" t="s">
        <v>67</v>
      </c>
      <c r="AV233" s="559" t="s">
        <v>67</v>
      </c>
      <c r="AW233" s="559" t="s">
        <v>67</v>
      </c>
      <c r="AX233" s="560" t="s">
        <v>67</v>
      </c>
      <c r="AY233" s="561" t="s">
        <v>67</v>
      </c>
      <c r="AZ233" s="562" t="s">
        <v>67</v>
      </c>
      <c r="BA233" s="558" t="s">
        <v>67</v>
      </c>
      <c r="BB233" s="559" t="s">
        <v>67</v>
      </c>
      <c r="BC233" s="559" t="s">
        <v>67</v>
      </c>
      <c r="BD233" s="559" t="s">
        <v>67</v>
      </c>
      <c r="BE233" s="560" t="s">
        <v>67</v>
      </c>
      <c r="BF233" s="561" t="s">
        <v>67</v>
      </c>
      <c r="BG233" s="562" t="s">
        <v>67</v>
      </c>
      <c r="BH233" s="558" t="s">
        <v>67</v>
      </c>
      <c r="BI233" s="559" t="s">
        <v>67</v>
      </c>
      <c r="BJ233" s="559" t="s">
        <v>67</v>
      </c>
      <c r="BK233" s="559" t="s">
        <v>67</v>
      </c>
      <c r="BL233" s="560" t="s">
        <v>67</v>
      </c>
      <c r="BM233" s="561" t="s">
        <v>67</v>
      </c>
      <c r="BN233" s="562" t="s">
        <v>67</v>
      </c>
      <c r="BO233" s="558" t="s">
        <v>67</v>
      </c>
      <c r="BP233" s="559" t="s">
        <v>67</v>
      </c>
      <c r="BQ233" s="559" t="s">
        <v>67</v>
      </c>
      <c r="BR233" s="559" t="s">
        <v>67</v>
      </c>
      <c r="BS233" s="560" t="s">
        <v>67</v>
      </c>
      <c r="BT233" s="561" t="s">
        <v>67</v>
      </c>
      <c r="BU233" s="562" t="s">
        <v>67</v>
      </c>
      <c r="BV233" s="558" t="s">
        <v>67</v>
      </c>
      <c r="BW233" s="559" t="s">
        <v>67</v>
      </c>
      <c r="BX233" s="559" t="s">
        <v>67</v>
      </c>
      <c r="BY233" s="559" t="s">
        <v>67</v>
      </c>
      <c r="BZ233" s="560" t="s">
        <v>67</v>
      </c>
      <c r="CA233" s="561" t="s">
        <v>67</v>
      </c>
      <c r="CB233" s="562" t="s">
        <v>67</v>
      </c>
      <c r="CC233" s="558" t="s">
        <v>67</v>
      </c>
      <c r="CD233" s="559" t="s">
        <v>67</v>
      </c>
      <c r="CE233" s="559" t="s">
        <v>67</v>
      </c>
      <c r="CF233" s="559" t="s">
        <v>67</v>
      </c>
      <c r="CG233" s="560" t="s">
        <v>67</v>
      </c>
      <c r="CH233" s="561" t="s">
        <v>67</v>
      </c>
      <c r="CI233" s="562" t="s">
        <v>67</v>
      </c>
      <c r="CJ233" s="558" t="s">
        <v>67</v>
      </c>
      <c r="CK233" s="559" t="s">
        <v>67</v>
      </c>
      <c r="CL233" s="559" t="s">
        <v>67</v>
      </c>
      <c r="CM233" s="559" t="s">
        <v>67</v>
      </c>
      <c r="CN233" s="560" t="s">
        <v>67</v>
      </c>
      <c r="CO233" s="561" t="s">
        <v>67</v>
      </c>
      <c r="CP233" s="664" t="s">
        <v>67</v>
      </c>
      <c r="CQ233" s="561" t="s">
        <v>67</v>
      </c>
      <c r="CR233" s="562" t="s">
        <v>67</v>
      </c>
      <c r="CS233" s="558" t="s">
        <v>67</v>
      </c>
      <c r="CT233" s="559" t="s">
        <v>67</v>
      </c>
      <c r="CU233" s="559" t="s">
        <v>67</v>
      </c>
      <c r="CV233" s="559" t="s">
        <v>67</v>
      </c>
      <c r="CW233" s="560" t="s">
        <v>67</v>
      </c>
      <c r="CX233" s="561" t="s">
        <v>67</v>
      </c>
      <c r="CY233" s="664" t="s">
        <v>67</v>
      </c>
      <c r="CZ233" s="561" t="s">
        <v>67</v>
      </c>
      <c r="DA233" s="562" t="s">
        <v>67</v>
      </c>
      <c r="DB233" s="558" t="s">
        <v>67</v>
      </c>
      <c r="DC233" s="559" t="s">
        <v>67</v>
      </c>
      <c r="DD233" s="559" t="s">
        <v>67</v>
      </c>
      <c r="DE233" s="559" t="s">
        <v>67</v>
      </c>
      <c r="DF233" s="560" t="s">
        <v>67</v>
      </c>
      <c r="DG233" s="561" t="s">
        <v>67</v>
      </c>
      <c r="DH233" s="664" t="s">
        <v>67</v>
      </c>
      <c r="DI233" s="561" t="s">
        <v>67</v>
      </c>
      <c r="DJ233" s="562" t="s">
        <v>67</v>
      </c>
      <c r="DK233" s="558" t="s">
        <v>67</v>
      </c>
      <c r="DL233" s="559" t="s">
        <v>67</v>
      </c>
      <c r="DM233" s="559" t="s">
        <v>67</v>
      </c>
      <c r="DN233" s="559" t="s">
        <v>67</v>
      </c>
      <c r="DO233" s="560" t="s">
        <v>67</v>
      </c>
      <c r="DP233" s="561" t="s">
        <v>67</v>
      </c>
      <c r="DQ233" s="664" t="s">
        <v>67</v>
      </c>
      <c r="DR233" s="561" t="s">
        <v>67</v>
      </c>
      <c r="DS233" s="562" t="s">
        <v>67</v>
      </c>
      <c r="DT233" s="558" t="s">
        <v>67</v>
      </c>
      <c r="DU233" s="559" t="s">
        <v>67</v>
      </c>
      <c r="DV233" s="559" t="s">
        <v>67</v>
      </c>
      <c r="DW233" s="559" t="s">
        <v>67</v>
      </c>
      <c r="DX233" s="560" t="s">
        <v>67</v>
      </c>
      <c r="DY233" s="561" t="s">
        <v>67</v>
      </c>
      <c r="DZ233" s="664" t="s">
        <v>67</v>
      </c>
      <c r="EA233" s="561" t="s">
        <v>67</v>
      </c>
      <c r="EB233" s="562" t="s">
        <v>67</v>
      </c>
    </row>
    <row r="234" spans="1:132" s="2" customFormat="1" x14ac:dyDescent="0.25">
      <c r="A234" s="577" t="s">
        <v>578</v>
      </c>
      <c r="B234" s="489" t="s">
        <v>521</v>
      </c>
      <c r="C234" s="565" t="s">
        <v>199</v>
      </c>
      <c r="D234" s="558">
        <v>471</v>
      </c>
      <c r="E234" s="559">
        <v>457</v>
      </c>
      <c r="F234" s="559">
        <v>402</v>
      </c>
      <c r="G234" s="559">
        <v>399</v>
      </c>
      <c r="H234" s="560">
        <v>337</v>
      </c>
      <c r="I234" s="561">
        <f t="shared" si="374"/>
        <v>0.87308533916849018</v>
      </c>
      <c r="J234" s="562">
        <f t="shared" si="375"/>
        <v>0.9925373134328358</v>
      </c>
      <c r="K234" s="558">
        <v>427</v>
      </c>
      <c r="L234" s="559">
        <v>424</v>
      </c>
      <c r="M234" s="559">
        <v>359</v>
      </c>
      <c r="N234" s="559">
        <v>353</v>
      </c>
      <c r="O234" s="560">
        <v>302</v>
      </c>
      <c r="P234" s="561">
        <f t="shared" si="406"/>
        <v>0.83254716981132071</v>
      </c>
      <c r="Q234" s="562">
        <f t="shared" si="407"/>
        <v>0.98328690807799446</v>
      </c>
      <c r="R234" s="558">
        <v>359</v>
      </c>
      <c r="S234" s="559">
        <v>358</v>
      </c>
      <c r="T234" s="559">
        <v>285</v>
      </c>
      <c r="U234" s="559">
        <v>243</v>
      </c>
      <c r="V234" s="560">
        <v>214</v>
      </c>
      <c r="W234" s="561">
        <f t="shared" si="372"/>
        <v>0.67877094972067042</v>
      </c>
      <c r="X234" s="562">
        <f t="shared" si="373"/>
        <v>0.85263157894736841</v>
      </c>
      <c r="Y234" s="558">
        <v>264</v>
      </c>
      <c r="Z234" s="559">
        <v>264</v>
      </c>
      <c r="AA234" s="559">
        <v>185</v>
      </c>
      <c r="AB234" s="559">
        <v>180</v>
      </c>
      <c r="AC234" s="560">
        <v>160</v>
      </c>
      <c r="AD234" s="561">
        <f t="shared" si="408"/>
        <v>0.68181818181818177</v>
      </c>
      <c r="AE234" s="562">
        <f t="shared" si="409"/>
        <v>0.97297297297297303</v>
      </c>
      <c r="AF234" s="558">
        <v>270</v>
      </c>
      <c r="AG234" s="559">
        <v>270</v>
      </c>
      <c r="AH234" s="559">
        <v>189</v>
      </c>
      <c r="AI234" s="559">
        <v>189</v>
      </c>
      <c r="AJ234" s="560">
        <v>164</v>
      </c>
      <c r="AK234" s="561">
        <f t="shared" si="410"/>
        <v>0.7</v>
      </c>
      <c r="AL234" s="562">
        <f t="shared" si="411"/>
        <v>1</v>
      </c>
      <c r="AM234" s="558">
        <v>241</v>
      </c>
      <c r="AN234" s="559">
        <v>241</v>
      </c>
      <c r="AO234" s="559">
        <v>172</v>
      </c>
      <c r="AP234" s="559">
        <v>171</v>
      </c>
      <c r="AQ234" s="560">
        <v>150</v>
      </c>
      <c r="AR234" s="561">
        <f t="shared" si="412"/>
        <v>0.70954356846473032</v>
      </c>
      <c r="AS234" s="562">
        <f t="shared" si="413"/>
        <v>0.9941860465116279</v>
      </c>
      <c r="AT234" s="558">
        <v>276</v>
      </c>
      <c r="AU234" s="559">
        <v>276</v>
      </c>
      <c r="AV234" s="559">
        <v>204</v>
      </c>
      <c r="AW234" s="559">
        <v>203</v>
      </c>
      <c r="AX234" s="560">
        <v>178</v>
      </c>
      <c r="AY234" s="561">
        <f t="shared" si="414"/>
        <v>0.73550724637681164</v>
      </c>
      <c r="AZ234" s="562">
        <f t="shared" si="415"/>
        <v>0.99509803921568629</v>
      </c>
      <c r="BA234" s="558">
        <v>278</v>
      </c>
      <c r="BB234" s="559">
        <v>278</v>
      </c>
      <c r="BC234" s="559">
        <v>204</v>
      </c>
      <c r="BD234" s="559">
        <v>204</v>
      </c>
      <c r="BE234" s="560">
        <v>191</v>
      </c>
      <c r="BF234" s="561">
        <f t="shared" ref="BF234:BF237" si="448">BD234/BB234</f>
        <v>0.73381294964028776</v>
      </c>
      <c r="BG234" s="562">
        <f t="shared" ref="BG234:BG237" si="449">BD234/BC234</f>
        <v>1</v>
      </c>
      <c r="BH234" s="558">
        <v>152</v>
      </c>
      <c r="BI234" s="559">
        <v>152</v>
      </c>
      <c r="BJ234" s="559">
        <v>138</v>
      </c>
      <c r="BK234" s="559">
        <v>138</v>
      </c>
      <c r="BL234" s="560">
        <v>125</v>
      </c>
      <c r="BM234" s="561">
        <f t="shared" ref="BM234:BM237" si="450">BK234/BI234</f>
        <v>0.90789473684210531</v>
      </c>
      <c r="BN234" s="562">
        <f t="shared" ref="BN234:BN237" si="451">BK234/BJ234</f>
        <v>1</v>
      </c>
      <c r="BO234" s="558">
        <v>148</v>
      </c>
      <c r="BP234" s="559">
        <v>148</v>
      </c>
      <c r="BQ234" s="559">
        <v>101</v>
      </c>
      <c r="BR234" s="559">
        <v>101</v>
      </c>
      <c r="BS234" s="560">
        <v>96</v>
      </c>
      <c r="BT234" s="561">
        <f t="shared" ref="BT234:BT237" si="452">BR234/BP234</f>
        <v>0.68243243243243246</v>
      </c>
      <c r="BU234" s="562">
        <f t="shared" ref="BU234:BU237" si="453">BR234/BQ234</f>
        <v>1</v>
      </c>
      <c r="BV234" s="558">
        <v>123</v>
      </c>
      <c r="BW234" s="559">
        <v>123</v>
      </c>
      <c r="BX234" s="559">
        <v>82</v>
      </c>
      <c r="BY234" s="559">
        <v>82</v>
      </c>
      <c r="BZ234" s="560">
        <v>78</v>
      </c>
      <c r="CA234" s="561">
        <f t="shared" ref="CA234:CA237" si="454">BY234/BW234</f>
        <v>0.66666666666666663</v>
      </c>
      <c r="CB234" s="562">
        <f t="shared" ref="CB234:CB237" si="455">BY234/BX234</f>
        <v>1</v>
      </c>
      <c r="CC234" s="558">
        <v>108</v>
      </c>
      <c r="CD234" s="559">
        <v>108</v>
      </c>
      <c r="CE234" s="559">
        <v>68</v>
      </c>
      <c r="CF234" s="559">
        <v>68</v>
      </c>
      <c r="CG234" s="560">
        <v>66</v>
      </c>
      <c r="CH234" s="561">
        <f t="shared" ref="CH234:CH237" si="456">CF234/CD234</f>
        <v>0.62962962962962965</v>
      </c>
      <c r="CI234" s="562">
        <f t="shared" ref="CI234:CI237" si="457">CF234/CE234</f>
        <v>1</v>
      </c>
      <c r="CJ234" s="558">
        <v>109</v>
      </c>
      <c r="CK234" s="559">
        <v>109</v>
      </c>
      <c r="CL234" s="559">
        <v>66</v>
      </c>
      <c r="CM234" s="559">
        <v>66</v>
      </c>
      <c r="CN234" s="560">
        <v>65</v>
      </c>
      <c r="CO234" s="561">
        <f t="shared" ref="CO234:CO237" si="458">CM234/CK234</f>
        <v>0.60550458715596334</v>
      </c>
      <c r="CP234" s="664">
        <f t="shared" ref="CP234:CP237" si="459">CM234/CL234</f>
        <v>1</v>
      </c>
      <c r="CQ234" s="561">
        <v>0.60550458715596334</v>
      </c>
      <c r="CR234" s="562">
        <v>1</v>
      </c>
      <c r="CS234" s="558" t="s">
        <v>67</v>
      </c>
      <c r="CT234" s="559" t="s">
        <v>67</v>
      </c>
      <c r="CU234" s="559" t="s">
        <v>67</v>
      </c>
      <c r="CV234" s="559" t="s">
        <v>67</v>
      </c>
      <c r="CW234" s="560" t="s">
        <v>67</v>
      </c>
      <c r="CX234" s="561" t="e">
        <f t="shared" ref="CX234:CX237" si="460">CV234/CT234</f>
        <v>#VALUE!</v>
      </c>
      <c r="CY234" s="664" t="e">
        <f t="shared" ref="CY234:CY237" si="461">CV234/CU234</f>
        <v>#VALUE!</v>
      </c>
      <c r="CZ234" s="561" t="s">
        <v>67</v>
      </c>
      <c r="DA234" s="562" t="s">
        <v>67</v>
      </c>
      <c r="DB234" s="558" t="s">
        <v>67</v>
      </c>
      <c r="DC234" s="559" t="s">
        <v>67</v>
      </c>
      <c r="DD234" s="559" t="s">
        <v>67</v>
      </c>
      <c r="DE234" s="559" t="s">
        <v>67</v>
      </c>
      <c r="DF234" s="560" t="s">
        <v>67</v>
      </c>
      <c r="DG234" s="561" t="s">
        <v>67</v>
      </c>
      <c r="DH234" s="664" t="s">
        <v>67</v>
      </c>
      <c r="DI234" s="561" t="s">
        <v>67</v>
      </c>
      <c r="DJ234" s="562" t="s">
        <v>67</v>
      </c>
      <c r="DK234" s="558" t="s">
        <v>67</v>
      </c>
      <c r="DL234" s="559" t="s">
        <v>67</v>
      </c>
      <c r="DM234" s="559" t="s">
        <v>67</v>
      </c>
      <c r="DN234" s="559" t="s">
        <v>67</v>
      </c>
      <c r="DO234" s="560" t="s">
        <v>67</v>
      </c>
      <c r="DP234" s="561" t="s">
        <v>67</v>
      </c>
      <c r="DQ234" s="664" t="s">
        <v>67</v>
      </c>
      <c r="DR234" s="561" t="s">
        <v>67</v>
      </c>
      <c r="DS234" s="562" t="s">
        <v>67</v>
      </c>
      <c r="DT234" s="558" t="s">
        <v>67</v>
      </c>
      <c r="DU234" s="559" t="s">
        <v>67</v>
      </c>
      <c r="DV234" s="559" t="s">
        <v>67</v>
      </c>
      <c r="DW234" s="559" t="s">
        <v>67</v>
      </c>
      <c r="DX234" s="560" t="s">
        <v>67</v>
      </c>
      <c r="DY234" s="561" t="s">
        <v>67</v>
      </c>
      <c r="DZ234" s="664" t="s">
        <v>67</v>
      </c>
      <c r="EA234" s="561" t="s">
        <v>67</v>
      </c>
      <c r="EB234" s="562" t="s">
        <v>67</v>
      </c>
    </row>
    <row r="235" spans="1:132" s="2" customFormat="1" x14ac:dyDescent="0.25">
      <c r="A235" s="577" t="s">
        <v>579</v>
      </c>
      <c r="B235" s="489" t="s">
        <v>522</v>
      </c>
      <c r="C235" s="565" t="s">
        <v>199</v>
      </c>
      <c r="D235" s="535">
        <v>416</v>
      </c>
      <c r="E235" s="521">
        <v>415</v>
      </c>
      <c r="F235" s="521">
        <v>341</v>
      </c>
      <c r="G235" s="522">
        <v>337</v>
      </c>
      <c r="H235" s="522">
        <v>269</v>
      </c>
      <c r="I235" s="523">
        <f t="shared" si="374"/>
        <v>0.81204819277108431</v>
      </c>
      <c r="J235" s="524">
        <f t="shared" si="375"/>
        <v>0.98826979472140764</v>
      </c>
      <c r="K235" s="535">
        <v>405</v>
      </c>
      <c r="L235" s="521">
        <v>404</v>
      </c>
      <c r="M235" s="521">
        <v>332</v>
      </c>
      <c r="N235" s="522">
        <v>328</v>
      </c>
      <c r="O235" s="522">
        <v>289</v>
      </c>
      <c r="P235" s="523">
        <f t="shared" si="406"/>
        <v>0.81188118811881194</v>
      </c>
      <c r="Q235" s="524">
        <f t="shared" si="407"/>
        <v>0.98795180722891562</v>
      </c>
      <c r="R235" s="535">
        <v>437</v>
      </c>
      <c r="S235" s="521">
        <v>436</v>
      </c>
      <c r="T235" s="521">
        <v>341</v>
      </c>
      <c r="U235" s="522">
        <v>339</v>
      </c>
      <c r="V235" s="522">
        <v>276</v>
      </c>
      <c r="W235" s="523">
        <f t="shared" si="372"/>
        <v>0.77752293577981646</v>
      </c>
      <c r="X235" s="524">
        <f t="shared" si="373"/>
        <v>0.99413489736070382</v>
      </c>
      <c r="Y235" s="535">
        <v>409</v>
      </c>
      <c r="Z235" s="521">
        <v>409</v>
      </c>
      <c r="AA235" s="521">
        <v>302</v>
      </c>
      <c r="AB235" s="522">
        <v>301</v>
      </c>
      <c r="AC235" s="522">
        <v>230</v>
      </c>
      <c r="AD235" s="523">
        <f t="shared" si="408"/>
        <v>0.73594132029339854</v>
      </c>
      <c r="AE235" s="524">
        <f t="shared" si="409"/>
        <v>0.99668874172185429</v>
      </c>
      <c r="AF235" s="535">
        <v>326</v>
      </c>
      <c r="AG235" s="521">
        <v>326</v>
      </c>
      <c r="AH235" s="521">
        <v>326</v>
      </c>
      <c r="AI235" s="522">
        <v>270</v>
      </c>
      <c r="AJ235" s="522">
        <v>183</v>
      </c>
      <c r="AK235" s="523">
        <f t="shared" si="410"/>
        <v>0.82822085889570551</v>
      </c>
      <c r="AL235" s="524">
        <f t="shared" si="411"/>
        <v>0.82822085889570551</v>
      </c>
      <c r="AM235" s="535">
        <v>219</v>
      </c>
      <c r="AN235" s="521">
        <v>219</v>
      </c>
      <c r="AO235" s="521">
        <v>219</v>
      </c>
      <c r="AP235" s="522">
        <v>186</v>
      </c>
      <c r="AQ235" s="522">
        <v>127</v>
      </c>
      <c r="AR235" s="523">
        <f t="shared" si="412"/>
        <v>0.84931506849315064</v>
      </c>
      <c r="AS235" s="524">
        <f t="shared" si="413"/>
        <v>0.84931506849315064</v>
      </c>
      <c r="AT235" s="535">
        <v>175</v>
      </c>
      <c r="AU235" s="521">
        <v>174</v>
      </c>
      <c r="AV235" s="521">
        <v>149</v>
      </c>
      <c r="AW235" s="522">
        <v>149</v>
      </c>
      <c r="AX235" s="522">
        <v>127</v>
      </c>
      <c r="AY235" s="523">
        <f t="shared" si="414"/>
        <v>0.85632183908045978</v>
      </c>
      <c r="AZ235" s="524">
        <f t="shared" si="415"/>
        <v>1</v>
      </c>
      <c r="BA235" s="535">
        <v>176</v>
      </c>
      <c r="BB235" s="521">
        <v>176</v>
      </c>
      <c r="BC235" s="521">
        <v>176</v>
      </c>
      <c r="BD235" s="522">
        <v>127</v>
      </c>
      <c r="BE235" s="522">
        <v>92</v>
      </c>
      <c r="BF235" s="523">
        <f t="shared" si="448"/>
        <v>0.72159090909090906</v>
      </c>
      <c r="BG235" s="524">
        <f t="shared" si="449"/>
        <v>0.72159090909090906</v>
      </c>
      <c r="BH235" s="535">
        <v>180</v>
      </c>
      <c r="BI235" s="521">
        <v>180</v>
      </c>
      <c r="BJ235" s="521">
        <v>180</v>
      </c>
      <c r="BK235" s="522">
        <v>133</v>
      </c>
      <c r="BL235" s="522">
        <v>96</v>
      </c>
      <c r="BM235" s="523">
        <f t="shared" si="450"/>
        <v>0.73888888888888893</v>
      </c>
      <c r="BN235" s="524">
        <f t="shared" si="451"/>
        <v>0.73888888888888893</v>
      </c>
      <c r="BO235" s="535">
        <v>118</v>
      </c>
      <c r="BP235" s="521">
        <v>118</v>
      </c>
      <c r="BQ235" s="521">
        <v>118</v>
      </c>
      <c r="BR235" s="522">
        <v>80</v>
      </c>
      <c r="BS235" s="522">
        <v>62</v>
      </c>
      <c r="BT235" s="523">
        <f t="shared" si="452"/>
        <v>0.67796610169491522</v>
      </c>
      <c r="BU235" s="524">
        <f t="shared" si="453"/>
        <v>0.67796610169491522</v>
      </c>
      <c r="BV235" s="535">
        <v>118</v>
      </c>
      <c r="BW235" s="521">
        <v>118</v>
      </c>
      <c r="BX235" s="521">
        <v>118</v>
      </c>
      <c r="BY235" s="522">
        <v>104</v>
      </c>
      <c r="BZ235" s="522">
        <v>75</v>
      </c>
      <c r="CA235" s="523">
        <f t="shared" si="454"/>
        <v>0.88135593220338981</v>
      </c>
      <c r="CB235" s="524">
        <f t="shared" si="455"/>
        <v>0.88135593220338981</v>
      </c>
      <c r="CC235" s="535">
        <v>92</v>
      </c>
      <c r="CD235" s="521">
        <v>92</v>
      </c>
      <c r="CE235" s="521">
        <v>88</v>
      </c>
      <c r="CF235" s="522">
        <v>88</v>
      </c>
      <c r="CG235" s="522">
        <v>67</v>
      </c>
      <c r="CH235" s="523">
        <f t="shared" si="456"/>
        <v>0.95652173913043481</v>
      </c>
      <c r="CI235" s="524">
        <f t="shared" si="457"/>
        <v>1</v>
      </c>
      <c r="CJ235" s="535">
        <v>139</v>
      </c>
      <c r="CK235" s="521">
        <v>139</v>
      </c>
      <c r="CL235" s="521">
        <v>139</v>
      </c>
      <c r="CM235" s="522">
        <v>135</v>
      </c>
      <c r="CN235" s="522">
        <v>98</v>
      </c>
      <c r="CO235" s="523">
        <f t="shared" si="458"/>
        <v>0.97122302158273377</v>
      </c>
      <c r="CP235" s="663">
        <f t="shared" si="459"/>
        <v>0.97122302158273377</v>
      </c>
      <c r="CQ235" s="523">
        <v>0.97122302158273377</v>
      </c>
      <c r="CR235" s="524">
        <v>0.97122302158273377</v>
      </c>
      <c r="CS235" s="535">
        <v>154</v>
      </c>
      <c r="CT235" s="521">
        <v>151</v>
      </c>
      <c r="CU235" s="521">
        <v>151</v>
      </c>
      <c r="CV235" s="522">
        <v>148</v>
      </c>
      <c r="CW235" s="522">
        <v>116</v>
      </c>
      <c r="CX235" s="523">
        <f t="shared" si="460"/>
        <v>0.98013245033112584</v>
      </c>
      <c r="CY235" s="663">
        <f t="shared" si="461"/>
        <v>0.98013245033112584</v>
      </c>
      <c r="CZ235" s="523">
        <v>0.98675496688741726</v>
      </c>
      <c r="DA235" s="524">
        <v>0.98675496688741726</v>
      </c>
      <c r="DB235" s="535">
        <v>182</v>
      </c>
      <c r="DC235" s="521">
        <v>181</v>
      </c>
      <c r="DD235" s="521">
        <v>181</v>
      </c>
      <c r="DE235" s="522">
        <v>180</v>
      </c>
      <c r="DF235" s="522">
        <v>149</v>
      </c>
      <c r="DG235" s="523">
        <f t="shared" ref="DG235:DG237" si="462">DE235/DC235</f>
        <v>0.99447513812154698</v>
      </c>
      <c r="DH235" s="663">
        <f t="shared" ref="DH235:DH237" si="463">DE235/DD235</f>
        <v>0.99447513812154698</v>
      </c>
      <c r="DI235" s="523">
        <v>1</v>
      </c>
      <c r="DJ235" s="524">
        <v>1</v>
      </c>
      <c r="DK235" s="535">
        <v>188</v>
      </c>
      <c r="DL235" s="521">
        <v>188</v>
      </c>
      <c r="DM235" s="521">
        <v>188</v>
      </c>
      <c r="DN235" s="522">
        <v>187</v>
      </c>
      <c r="DO235" s="522">
        <v>153</v>
      </c>
      <c r="DP235" s="523">
        <f t="shared" ref="DP235:DP237" si="464">DN235/DL235</f>
        <v>0.99468085106382975</v>
      </c>
      <c r="DQ235" s="663">
        <f t="shared" ref="DQ235:DQ237" si="465">DN235/DM235</f>
        <v>0.99468085106382975</v>
      </c>
      <c r="DR235" s="523">
        <v>0.99468085106382975</v>
      </c>
      <c r="DS235" s="524">
        <v>0.99468085106382975</v>
      </c>
      <c r="DT235" s="535">
        <v>203</v>
      </c>
      <c r="DU235" s="521">
        <v>203</v>
      </c>
      <c r="DV235" s="521">
        <v>203</v>
      </c>
      <c r="DW235" s="522">
        <v>196</v>
      </c>
      <c r="DX235" s="522">
        <v>169</v>
      </c>
      <c r="DY235" s="523">
        <f t="shared" ref="DY235:DY237" si="466">DW235/DU235</f>
        <v>0.96551724137931039</v>
      </c>
      <c r="DZ235" s="663">
        <f t="shared" ref="DZ235:DZ237" si="467">DW235/DV235</f>
        <v>0.96551724137931039</v>
      </c>
      <c r="EA235" s="523">
        <v>0.97536945812807885</v>
      </c>
      <c r="EB235" s="524">
        <v>0.97536945812807885</v>
      </c>
    </row>
    <row r="236" spans="1:132" x14ac:dyDescent="0.2">
      <c r="A236" s="580" t="s">
        <v>629</v>
      </c>
      <c r="B236" s="489" t="s">
        <v>523</v>
      </c>
      <c r="C236" s="565" t="s">
        <v>199</v>
      </c>
      <c r="D236" s="535">
        <v>192</v>
      </c>
      <c r="E236" s="521">
        <v>192</v>
      </c>
      <c r="F236" s="521">
        <v>182</v>
      </c>
      <c r="G236" s="521">
        <v>152</v>
      </c>
      <c r="H236" s="522">
        <v>127</v>
      </c>
      <c r="I236" s="523">
        <f t="shared" si="374"/>
        <v>0.79166666666666663</v>
      </c>
      <c r="J236" s="524">
        <f t="shared" si="375"/>
        <v>0.8351648351648352</v>
      </c>
      <c r="K236" s="535">
        <v>228</v>
      </c>
      <c r="L236" s="521">
        <v>226</v>
      </c>
      <c r="M236" s="521">
        <v>195</v>
      </c>
      <c r="N236" s="521">
        <v>180</v>
      </c>
      <c r="O236" s="522">
        <v>148</v>
      </c>
      <c r="P236" s="523">
        <f t="shared" si="406"/>
        <v>0.79646017699115046</v>
      </c>
      <c r="Q236" s="524">
        <f t="shared" si="407"/>
        <v>0.92307692307692313</v>
      </c>
      <c r="R236" s="535">
        <v>254</v>
      </c>
      <c r="S236" s="521">
        <v>249</v>
      </c>
      <c r="T236" s="521">
        <v>249</v>
      </c>
      <c r="U236" s="521">
        <v>189</v>
      </c>
      <c r="V236" s="522">
        <v>160</v>
      </c>
      <c r="W236" s="523">
        <f t="shared" si="372"/>
        <v>0.75903614457831325</v>
      </c>
      <c r="X236" s="524">
        <f t="shared" si="373"/>
        <v>0.75903614457831325</v>
      </c>
      <c r="Y236" s="535">
        <v>207</v>
      </c>
      <c r="Z236" s="521">
        <v>201</v>
      </c>
      <c r="AA236" s="521">
        <v>162</v>
      </c>
      <c r="AB236" s="521">
        <v>159</v>
      </c>
      <c r="AC236" s="522">
        <v>120</v>
      </c>
      <c r="AD236" s="523">
        <f t="shared" si="408"/>
        <v>0.79104477611940294</v>
      </c>
      <c r="AE236" s="524">
        <f t="shared" si="409"/>
        <v>0.98148148148148151</v>
      </c>
      <c r="AF236" s="535">
        <v>224</v>
      </c>
      <c r="AG236" s="521">
        <v>214</v>
      </c>
      <c r="AH236" s="521">
        <v>161</v>
      </c>
      <c r="AI236" s="521">
        <v>161</v>
      </c>
      <c r="AJ236" s="522">
        <v>123</v>
      </c>
      <c r="AK236" s="523">
        <f t="shared" si="410"/>
        <v>0.75233644859813087</v>
      </c>
      <c r="AL236" s="524">
        <f t="shared" si="411"/>
        <v>1</v>
      </c>
      <c r="AM236" s="535">
        <v>193</v>
      </c>
      <c r="AN236" s="521">
        <v>181</v>
      </c>
      <c r="AO236" s="521">
        <v>178</v>
      </c>
      <c r="AP236" s="521">
        <v>117</v>
      </c>
      <c r="AQ236" s="522">
        <v>109</v>
      </c>
      <c r="AR236" s="523">
        <f t="shared" si="412"/>
        <v>0.64640883977900554</v>
      </c>
      <c r="AS236" s="524">
        <f t="shared" si="413"/>
        <v>0.65730337078651691</v>
      </c>
      <c r="AT236" s="535">
        <v>206</v>
      </c>
      <c r="AU236" s="521">
        <v>193</v>
      </c>
      <c r="AV236" s="521">
        <v>149</v>
      </c>
      <c r="AW236" s="521">
        <v>149</v>
      </c>
      <c r="AX236" s="522">
        <v>133</v>
      </c>
      <c r="AY236" s="523">
        <f t="shared" si="414"/>
        <v>0.772020725388601</v>
      </c>
      <c r="AZ236" s="524">
        <f t="shared" si="415"/>
        <v>1</v>
      </c>
      <c r="BA236" s="535">
        <v>228</v>
      </c>
      <c r="BB236" s="521">
        <v>212</v>
      </c>
      <c r="BC236" s="521">
        <v>172</v>
      </c>
      <c r="BD236" s="521">
        <v>170</v>
      </c>
      <c r="BE236" s="522">
        <v>134</v>
      </c>
      <c r="BF236" s="523">
        <f t="shared" si="448"/>
        <v>0.80188679245283023</v>
      </c>
      <c r="BG236" s="524">
        <f t="shared" si="449"/>
        <v>0.98837209302325579</v>
      </c>
      <c r="BH236" s="535">
        <v>199</v>
      </c>
      <c r="BI236" s="521">
        <v>186</v>
      </c>
      <c r="BJ236" s="521">
        <v>144</v>
      </c>
      <c r="BK236" s="521">
        <v>144</v>
      </c>
      <c r="BL236" s="522">
        <v>106</v>
      </c>
      <c r="BM236" s="523">
        <f t="shared" si="450"/>
        <v>0.77419354838709675</v>
      </c>
      <c r="BN236" s="524">
        <f t="shared" si="451"/>
        <v>1</v>
      </c>
      <c r="BO236" s="535">
        <v>185</v>
      </c>
      <c r="BP236" s="521">
        <v>180</v>
      </c>
      <c r="BQ236" s="521">
        <v>180</v>
      </c>
      <c r="BR236" s="521">
        <v>135</v>
      </c>
      <c r="BS236" s="522">
        <v>104</v>
      </c>
      <c r="BT236" s="523">
        <f t="shared" si="452"/>
        <v>0.75</v>
      </c>
      <c r="BU236" s="524">
        <f t="shared" si="453"/>
        <v>0.75</v>
      </c>
      <c r="BV236" s="535">
        <v>212</v>
      </c>
      <c r="BW236" s="521">
        <v>208</v>
      </c>
      <c r="BX236" s="521">
        <v>203</v>
      </c>
      <c r="BY236" s="521">
        <v>173</v>
      </c>
      <c r="BZ236" s="522">
        <v>140</v>
      </c>
      <c r="CA236" s="523">
        <f t="shared" si="454"/>
        <v>0.83173076923076927</v>
      </c>
      <c r="CB236" s="524">
        <f t="shared" si="455"/>
        <v>0.85221674876847286</v>
      </c>
      <c r="CC236" s="535">
        <v>230</v>
      </c>
      <c r="CD236" s="521">
        <v>219</v>
      </c>
      <c r="CE236" s="521">
        <v>167</v>
      </c>
      <c r="CF236" s="521">
        <v>167</v>
      </c>
      <c r="CG236" s="522">
        <v>114</v>
      </c>
      <c r="CH236" s="523">
        <f t="shared" si="456"/>
        <v>0.76255707762557079</v>
      </c>
      <c r="CI236" s="524">
        <f t="shared" si="457"/>
        <v>1</v>
      </c>
      <c r="CJ236" s="535">
        <v>166</v>
      </c>
      <c r="CK236" s="521">
        <v>164</v>
      </c>
      <c r="CL236" s="521">
        <v>164</v>
      </c>
      <c r="CM236" s="521">
        <v>164</v>
      </c>
      <c r="CN236" s="522">
        <v>118</v>
      </c>
      <c r="CO236" s="523">
        <f t="shared" si="458"/>
        <v>1</v>
      </c>
      <c r="CP236" s="663">
        <f t="shared" si="459"/>
        <v>1</v>
      </c>
      <c r="CQ236" s="523">
        <v>1</v>
      </c>
      <c r="CR236" s="524">
        <v>1</v>
      </c>
      <c r="CS236" s="535">
        <v>175</v>
      </c>
      <c r="CT236" s="521">
        <v>166</v>
      </c>
      <c r="CU236" s="521">
        <v>166</v>
      </c>
      <c r="CV236" s="521">
        <v>166</v>
      </c>
      <c r="CW236" s="522">
        <v>112</v>
      </c>
      <c r="CX236" s="523">
        <f t="shared" si="460"/>
        <v>1</v>
      </c>
      <c r="CY236" s="663">
        <f t="shared" si="461"/>
        <v>1</v>
      </c>
      <c r="CZ236" s="523">
        <v>1</v>
      </c>
      <c r="DA236" s="524">
        <v>1</v>
      </c>
      <c r="DB236" s="535">
        <v>237</v>
      </c>
      <c r="DC236" s="521">
        <v>227</v>
      </c>
      <c r="DD236" s="521">
        <v>227</v>
      </c>
      <c r="DE236" s="521">
        <v>197</v>
      </c>
      <c r="DF236" s="522">
        <v>148</v>
      </c>
      <c r="DG236" s="523">
        <f t="shared" si="462"/>
        <v>0.86784140969162993</v>
      </c>
      <c r="DH236" s="663">
        <f t="shared" si="463"/>
        <v>0.86784140969162993</v>
      </c>
      <c r="DI236" s="523">
        <v>0.95154185022026427</v>
      </c>
      <c r="DJ236" s="524">
        <v>0.95154185022026427</v>
      </c>
      <c r="DK236" s="535">
        <v>356</v>
      </c>
      <c r="DL236" s="521">
        <v>335</v>
      </c>
      <c r="DM236" s="521">
        <v>335</v>
      </c>
      <c r="DN236" s="521">
        <v>307</v>
      </c>
      <c r="DO236" s="522">
        <v>181</v>
      </c>
      <c r="DP236" s="523">
        <f t="shared" si="464"/>
        <v>0.91641791044776122</v>
      </c>
      <c r="DQ236" s="663">
        <f t="shared" si="465"/>
        <v>0.91641791044776122</v>
      </c>
      <c r="DR236" s="523">
        <v>0.97014925373134331</v>
      </c>
      <c r="DS236" s="524">
        <v>0.97014925373134331</v>
      </c>
      <c r="DT236" s="535">
        <v>465</v>
      </c>
      <c r="DU236" s="521">
        <v>435</v>
      </c>
      <c r="DV236" s="521">
        <v>435</v>
      </c>
      <c r="DW236" s="521">
        <v>371</v>
      </c>
      <c r="DX236" s="522">
        <v>277</v>
      </c>
      <c r="DY236" s="523">
        <f t="shared" si="466"/>
        <v>0.85287356321839081</v>
      </c>
      <c r="DZ236" s="663">
        <f t="shared" si="467"/>
        <v>0.85287356321839081</v>
      </c>
      <c r="EA236" s="523">
        <v>0.85287356321839081</v>
      </c>
      <c r="EB236" s="524">
        <v>0.85287356321839081</v>
      </c>
    </row>
    <row r="237" spans="1:132" s="2" customFormat="1" x14ac:dyDescent="0.2">
      <c r="A237" s="580" t="s">
        <v>601</v>
      </c>
      <c r="B237" s="489" t="s">
        <v>524</v>
      </c>
      <c r="C237" s="565" t="s">
        <v>199</v>
      </c>
      <c r="D237" s="535">
        <v>212</v>
      </c>
      <c r="E237" s="521">
        <v>138</v>
      </c>
      <c r="F237" s="521">
        <v>119</v>
      </c>
      <c r="G237" s="521">
        <v>118</v>
      </c>
      <c r="H237" s="522">
        <v>92</v>
      </c>
      <c r="I237" s="523">
        <f t="shared" si="374"/>
        <v>0.85507246376811596</v>
      </c>
      <c r="J237" s="524">
        <f t="shared" si="375"/>
        <v>0.99159663865546221</v>
      </c>
      <c r="K237" s="535">
        <v>239</v>
      </c>
      <c r="L237" s="521">
        <v>200</v>
      </c>
      <c r="M237" s="521">
        <v>173</v>
      </c>
      <c r="N237" s="521">
        <v>172</v>
      </c>
      <c r="O237" s="522">
        <v>155</v>
      </c>
      <c r="P237" s="523">
        <f t="shared" si="406"/>
        <v>0.86</v>
      </c>
      <c r="Q237" s="524">
        <f t="shared" si="407"/>
        <v>0.9942196531791907</v>
      </c>
      <c r="R237" s="535">
        <v>223</v>
      </c>
      <c r="S237" s="521">
        <v>218</v>
      </c>
      <c r="T237" s="521">
        <v>159</v>
      </c>
      <c r="U237" s="521">
        <v>158</v>
      </c>
      <c r="V237" s="522">
        <v>135</v>
      </c>
      <c r="W237" s="523">
        <f t="shared" si="372"/>
        <v>0.72477064220183485</v>
      </c>
      <c r="X237" s="524">
        <f t="shared" si="373"/>
        <v>0.99371069182389937</v>
      </c>
      <c r="Y237" s="535">
        <v>272</v>
      </c>
      <c r="Z237" s="521">
        <v>257</v>
      </c>
      <c r="AA237" s="521">
        <v>204</v>
      </c>
      <c r="AB237" s="521">
        <v>203</v>
      </c>
      <c r="AC237" s="522">
        <v>182</v>
      </c>
      <c r="AD237" s="523">
        <f t="shared" si="408"/>
        <v>0.78988326848249024</v>
      </c>
      <c r="AE237" s="524">
        <f t="shared" si="409"/>
        <v>0.99509803921568629</v>
      </c>
      <c r="AF237" s="535">
        <v>259</v>
      </c>
      <c r="AG237" s="521">
        <v>247</v>
      </c>
      <c r="AH237" s="521">
        <v>196</v>
      </c>
      <c r="AI237" s="521">
        <v>195</v>
      </c>
      <c r="AJ237" s="522">
        <v>174</v>
      </c>
      <c r="AK237" s="523">
        <f t="shared" si="410"/>
        <v>0.78947368421052633</v>
      </c>
      <c r="AL237" s="524">
        <f t="shared" si="411"/>
        <v>0.99489795918367352</v>
      </c>
      <c r="AM237" s="535">
        <v>219</v>
      </c>
      <c r="AN237" s="521">
        <v>211</v>
      </c>
      <c r="AO237" s="521">
        <v>171</v>
      </c>
      <c r="AP237" s="521">
        <v>170</v>
      </c>
      <c r="AQ237" s="522">
        <v>149</v>
      </c>
      <c r="AR237" s="523">
        <f t="shared" si="412"/>
        <v>0.80568720379146919</v>
      </c>
      <c r="AS237" s="524">
        <f t="shared" si="413"/>
        <v>0.99415204678362568</v>
      </c>
      <c r="AT237" s="535">
        <v>178</v>
      </c>
      <c r="AU237" s="521">
        <v>175</v>
      </c>
      <c r="AV237" s="521">
        <v>131</v>
      </c>
      <c r="AW237" s="521">
        <v>130</v>
      </c>
      <c r="AX237" s="522">
        <v>111</v>
      </c>
      <c r="AY237" s="523">
        <f t="shared" si="414"/>
        <v>0.74285714285714288</v>
      </c>
      <c r="AZ237" s="524">
        <f t="shared" si="415"/>
        <v>0.99236641221374045</v>
      </c>
      <c r="BA237" s="535">
        <v>200</v>
      </c>
      <c r="BB237" s="521">
        <v>194</v>
      </c>
      <c r="BC237" s="521">
        <v>155</v>
      </c>
      <c r="BD237" s="521">
        <v>155</v>
      </c>
      <c r="BE237" s="522">
        <v>133</v>
      </c>
      <c r="BF237" s="523">
        <f t="shared" si="448"/>
        <v>0.7989690721649485</v>
      </c>
      <c r="BG237" s="524">
        <f t="shared" si="449"/>
        <v>1</v>
      </c>
      <c r="BH237" s="535">
        <v>233</v>
      </c>
      <c r="BI237" s="521">
        <v>229</v>
      </c>
      <c r="BJ237" s="521">
        <v>163</v>
      </c>
      <c r="BK237" s="521">
        <v>163</v>
      </c>
      <c r="BL237" s="522">
        <v>145</v>
      </c>
      <c r="BM237" s="523">
        <f t="shared" si="450"/>
        <v>0.71179039301310043</v>
      </c>
      <c r="BN237" s="524">
        <f t="shared" si="451"/>
        <v>1</v>
      </c>
      <c r="BO237" s="535">
        <v>251</v>
      </c>
      <c r="BP237" s="521">
        <v>249</v>
      </c>
      <c r="BQ237" s="521">
        <v>181</v>
      </c>
      <c r="BR237" s="521">
        <v>179</v>
      </c>
      <c r="BS237" s="522">
        <v>164</v>
      </c>
      <c r="BT237" s="523">
        <f t="shared" si="452"/>
        <v>0.71887550200803207</v>
      </c>
      <c r="BU237" s="524">
        <f t="shared" si="453"/>
        <v>0.98895027624309395</v>
      </c>
      <c r="BV237" s="535">
        <v>262</v>
      </c>
      <c r="BW237" s="521">
        <v>250</v>
      </c>
      <c r="BX237" s="521">
        <v>182</v>
      </c>
      <c r="BY237" s="521">
        <v>178</v>
      </c>
      <c r="BZ237" s="522">
        <v>164</v>
      </c>
      <c r="CA237" s="523">
        <f t="shared" si="454"/>
        <v>0.71199999999999997</v>
      </c>
      <c r="CB237" s="524">
        <f t="shared" si="455"/>
        <v>0.97802197802197799</v>
      </c>
      <c r="CC237" s="535">
        <v>274</v>
      </c>
      <c r="CD237" s="521">
        <v>269</v>
      </c>
      <c r="CE237" s="521">
        <v>204</v>
      </c>
      <c r="CF237" s="521">
        <v>204</v>
      </c>
      <c r="CG237" s="522">
        <v>153</v>
      </c>
      <c r="CH237" s="523">
        <f t="shared" si="456"/>
        <v>0.75836431226765799</v>
      </c>
      <c r="CI237" s="524">
        <f t="shared" si="457"/>
        <v>1</v>
      </c>
      <c r="CJ237" s="535">
        <v>273</v>
      </c>
      <c r="CK237" s="521">
        <v>272</v>
      </c>
      <c r="CL237" s="521">
        <v>272</v>
      </c>
      <c r="CM237" s="521">
        <v>269</v>
      </c>
      <c r="CN237" s="522">
        <v>223</v>
      </c>
      <c r="CO237" s="523">
        <f t="shared" si="458"/>
        <v>0.98897058823529416</v>
      </c>
      <c r="CP237" s="663">
        <f t="shared" si="459"/>
        <v>0.98897058823529416</v>
      </c>
      <c r="CQ237" s="523">
        <v>0.98897058823529416</v>
      </c>
      <c r="CR237" s="524">
        <v>0.98897058823529416</v>
      </c>
      <c r="CS237" s="535">
        <v>405</v>
      </c>
      <c r="CT237" s="521">
        <v>399</v>
      </c>
      <c r="CU237" s="521">
        <v>312</v>
      </c>
      <c r="CV237" s="521">
        <v>312</v>
      </c>
      <c r="CW237" s="522">
        <v>250</v>
      </c>
      <c r="CX237" s="523">
        <f t="shared" si="460"/>
        <v>0.78195488721804507</v>
      </c>
      <c r="CY237" s="663">
        <f t="shared" si="461"/>
        <v>1</v>
      </c>
      <c r="CZ237" s="523">
        <v>0.78195488721804507</v>
      </c>
      <c r="DA237" s="524">
        <v>1</v>
      </c>
      <c r="DB237" s="535">
        <v>399</v>
      </c>
      <c r="DC237" s="521">
        <v>394</v>
      </c>
      <c r="DD237" s="521">
        <v>351</v>
      </c>
      <c r="DE237" s="521">
        <v>322</v>
      </c>
      <c r="DF237" s="522">
        <v>236</v>
      </c>
      <c r="DG237" s="523">
        <f t="shared" si="462"/>
        <v>0.81725888324873097</v>
      </c>
      <c r="DH237" s="663">
        <f t="shared" si="463"/>
        <v>0.91737891737891741</v>
      </c>
      <c r="DI237" s="523">
        <v>0.8908629441624365</v>
      </c>
      <c r="DJ237" s="524">
        <v>1</v>
      </c>
      <c r="DK237" s="535">
        <v>543</v>
      </c>
      <c r="DL237" s="521">
        <v>531</v>
      </c>
      <c r="DM237" s="521">
        <v>416</v>
      </c>
      <c r="DN237" s="521">
        <v>408</v>
      </c>
      <c r="DO237" s="522">
        <v>260</v>
      </c>
      <c r="DP237" s="523">
        <f t="shared" si="464"/>
        <v>0.76836158192090398</v>
      </c>
      <c r="DQ237" s="663">
        <f t="shared" si="465"/>
        <v>0.98076923076923073</v>
      </c>
      <c r="DR237" s="523">
        <v>0.78154425612052736</v>
      </c>
      <c r="DS237" s="524">
        <v>0.99759615384615385</v>
      </c>
      <c r="DT237" s="535">
        <v>427</v>
      </c>
      <c r="DU237" s="521">
        <v>408</v>
      </c>
      <c r="DV237" s="521">
        <v>343</v>
      </c>
      <c r="DW237" s="521">
        <v>343</v>
      </c>
      <c r="DX237" s="522">
        <v>137</v>
      </c>
      <c r="DY237" s="523">
        <f t="shared" si="466"/>
        <v>0.84068627450980393</v>
      </c>
      <c r="DZ237" s="663">
        <f t="shared" si="467"/>
        <v>1</v>
      </c>
      <c r="EA237" s="523">
        <v>0.84068627450980393</v>
      </c>
      <c r="EB237" s="524">
        <v>1</v>
      </c>
    </row>
    <row r="238" spans="1:132" ht="25.5" x14ac:dyDescent="0.2">
      <c r="A238" s="580" t="s">
        <v>525</v>
      </c>
      <c r="B238" s="489" t="s">
        <v>526</v>
      </c>
      <c r="C238" s="581" t="s">
        <v>199</v>
      </c>
      <c r="D238" s="535">
        <v>99</v>
      </c>
      <c r="E238" s="582">
        <v>99</v>
      </c>
      <c r="F238" s="582">
        <v>99</v>
      </c>
      <c r="G238" s="582">
        <v>99</v>
      </c>
      <c r="H238" s="583">
        <v>99</v>
      </c>
      <c r="I238" s="584">
        <f t="shared" si="374"/>
        <v>1</v>
      </c>
      <c r="J238" s="585">
        <f t="shared" si="375"/>
        <v>1</v>
      </c>
      <c r="K238" s="535" t="s">
        <v>67</v>
      </c>
      <c r="L238" s="582" t="s">
        <v>67</v>
      </c>
      <c r="M238" s="582" t="s">
        <v>67</v>
      </c>
      <c r="N238" s="582" t="s">
        <v>67</v>
      </c>
      <c r="O238" s="583" t="s">
        <v>67</v>
      </c>
      <c r="P238" s="584" t="s">
        <v>67</v>
      </c>
      <c r="Q238" s="585" t="s">
        <v>67</v>
      </c>
      <c r="R238" s="535" t="s">
        <v>67</v>
      </c>
      <c r="S238" s="582" t="s">
        <v>67</v>
      </c>
      <c r="T238" s="582" t="s">
        <v>67</v>
      </c>
      <c r="U238" s="582" t="s">
        <v>67</v>
      </c>
      <c r="V238" s="583" t="s">
        <v>67</v>
      </c>
      <c r="W238" s="584" t="s">
        <v>67</v>
      </c>
      <c r="X238" s="585" t="s">
        <v>67</v>
      </c>
      <c r="Y238" s="535" t="s">
        <v>67</v>
      </c>
      <c r="Z238" s="582" t="s">
        <v>67</v>
      </c>
      <c r="AA238" s="582" t="s">
        <v>67</v>
      </c>
      <c r="AB238" s="582" t="s">
        <v>67</v>
      </c>
      <c r="AC238" s="583" t="s">
        <v>67</v>
      </c>
      <c r="AD238" s="584" t="s">
        <v>67</v>
      </c>
      <c r="AE238" s="585" t="s">
        <v>67</v>
      </c>
      <c r="AF238" s="558" t="s">
        <v>67</v>
      </c>
      <c r="AG238" s="559" t="s">
        <v>67</v>
      </c>
      <c r="AH238" s="559" t="s">
        <v>67</v>
      </c>
      <c r="AI238" s="559" t="s">
        <v>67</v>
      </c>
      <c r="AJ238" s="560" t="s">
        <v>67</v>
      </c>
      <c r="AK238" s="561" t="s">
        <v>67</v>
      </c>
      <c r="AL238" s="562" t="s">
        <v>67</v>
      </c>
      <c r="AM238" s="558" t="s">
        <v>67</v>
      </c>
      <c r="AN238" s="559" t="s">
        <v>67</v>
      </c>
      <c r="AO238" s="559" t="s">
        <v>67</v>
      </c>
      <c r="AP238" s="559" t="s">
        <v>67</v>
      </c>
      <c r="AQ238" s="560" t="s">
        <v>67</v>
      </c>
      <c r="AR238" s="561" t="s">
        <v>67</v>
      </c>
      <c r="AS238" s="562" t="s">
        <v>67</v>
      </c>
      <c r="AT238" s="558" t="s">
        <v>67</v>
      </c>
      <c r="AU238" s="559" t="s">
        <v>67</v>
      </c>
      <c r="AV238" s="559" t="s">
        <v>67</v>
      </c>
      <c r="AW238" s="559" t="s">
        <v>67</v>
      </c>
      <c r="AX238" s="560" t="s">
        <v>67</v>
      </c>
      <c r="AY238" s="561" t="s">
        <v>67</v>
      </c>
      <c r="AZ238" s="562" t="s">
        <v>67</v>
      </c>
      <c r="BA238" s="558" t="s">
        <v>67</v>
      </c>
      <c r="BB238" s="559" t="s">
        <v>67</v>
      </c>
      <c r="BC238" s="559" t="s">
        <v>67</v>
      </c>
      <c r="BD238" s="559" t="s">
        <v>67</v>
      </c>
      <c r="BE238" s="560" t="s">
        <v>67</v>
      </c>
      <c r="BF238" s="561" t="s">
        <v>67</v>
      </c>
      <c r="BG238" s="562" t="s">
        <v>67</v>
      </c>
      <c r="BH238" s="558" t="s">
        <v>67</v>
      </c>
      <c r="BI238" s="559" t="s">
        <v>67</v>
      </c>
      <c r="BJ238" s="559" t="s">
        <v>67</v>
      </c>
      <c r="BK238" s="559" t="s">
        <v>67</v>
      </c>
      <c r="BL238" s="560" t="s">
        <v>67</v>
      </c>
      <c r="BM238" s="561" t="s">
        <v>67</v>
      </c>
      <c r="BN238" s="562" t="s">
        <v>67</v>
      </c>
      <c r="BO238" s="558" t="s">
        <v>67</v>
      </c>
      <c r="BP238" s="559" t="s">
        <v>67</v>
      </c>
      <c r="BQ238" s="559" t="s">
        <v>67</v>
      </c>
      <c r="BR238" s="559" t="s">
        <v>67</v>
      </c>
      <c r="BS238" s="560" t="s">
        <v>67</v>
      </c>
      <c r="BT238" s="561" t="s">
        <v>67</v>
      </c>
      <c r="BU238" s="562" t="s">
        <v>67</v>
      </c>
      <c r="BV238" s="558" t="s">
        <v>67</v>
      </c>
      <c r="BW238" s="559" t="s">
        <v>67</v>
      </c>
      <c r="BX238" s="559" t="s">
        <v>67</v>
      </c>
      <c r="BY238" s="559" t="s">
        <v>67</v>
      </c>
      <c r="BZ238" s="560" t="s">
        <v>67</v>
      </c>
      <c r="CA238" s="561" t="s">
        <v>67</v>
      </c>
      <c r="CB238" s="562" t="s">
        <v>67</v>
      </c>
      <c r="CC238" s="558" t="s">
        <v>67</v>
      </c>
      <c r="CD238" s="559" t="s">
        <v>67</v>
      </c>
      <c r="CE238" s="559" t="s">
        <v>67</v>
      </c>
      <c r="CF238" s="559" t="s">
        <v>67</v>
      </c>
      <c r="CG238" s="560" t="s">
        <v>67</v>
      </c>
      <c r="CH238" s="561" t="s">
        <v>67</v>
      </c>
      <c r="CI238" s="562" t="s">
        <v>67</v>
      </c>
      <c r="CJ238" s="558" t="s">
        <v>67</v>
      </c>
      <c r="CK238" s="559" t="s">
        <v>67</v>
      </c>
      <c r="CL238" s="559" t="s">
        <v>67</v>
      </c>
      <c r="CM238" s="559" t="s">
        <v>67</v>
      </c>
      <c r="CN238" s="560" t="s">
        <v>67</v>
      </c>
      <c r="CO238" s="561" t="s">
        <v>67</v>
      </c>
      <c r="CP238" s="664" t="s">
        <v>67</v>
      </c>
      <c r="CQ238" s="561" t="s">
        <v>67</v>
      </c>
      <c r="CR238" s="562" t="s">
        <v>67</v>
      </c>
      <c r="CS238" s="558" t="s">
        <v>67</v>
      </c>
      <c r="CT238" s="559" t="s">
        <v>67</v>
      </c>
      <c r="CU238" s="559" t="s">
        <v>67</v>
      </c>
      <c r="CV238" s="559" t="s">
        <v>67</v>
      </c>
      <c r="CW238" s="560" t="s">
        <v>67</v>
      </c>
      <c r="CX238" s="561" t="s">
        <v>67</v>
      </c>
      <c r="CY238" s="664" t="s">
        <v>67</v>
      </c>
      <c r="CZ238" s="561" t="s">
        <v>67</v>
      </c>
      <c r="DA238" s="562" t="s">
        <v>67</v>
      </c>
      <c r="DB238" s="558" t="s">
        <v>67</v>
      </c>
      <c r="DC238" s="559" t="s">
        <v>67</v>
      </c>
      <c r="DD238" s="559" t="s">
        <v>67</v>
      </c>
      <c r="DE238" s="559" t="s">
        <v>67</v>
      </c>
      <c r="DF238" s="560" t="s">
        <v>67</v>
      </c>
      <c r="DG238" s="561" t="s">
        <v>67</v>
      </c>
      <c r="DH238" s="664" t="s">
        <v>67</v>
      </c>
      <c r="DI238" s="561" t="s">
        <v>67</v>
      </c>
      <c r="DJ238" s="562" t="s">
        <v>67</v>
      </c>
      <c r="DK238" s="558" t="s">
        <v>67</v>
      </c>
      <c r="DL238" s="559" t="s">
        <v>67</v>
      </c>
      <c r="DM238" s="559" t="s">
        <v>67</v>
      </c>
      <c r="DN238" s="559" t="s">
        <v>67</v>
      </c>
      <c r="DO238" s="560" t="s">
        <v>67</v>
      </c>
      <c r="DP238" s="561" t="s">
        <v>67</v>
      </c>
      <c r="DQ238" s="664" t="s">
        <v>67</v>
      </c>
      <c r="DR238" s="561" t="s">
        <v>67</v>
      </c>
      <c r="DS238" s="562" t="s">
        <v>67</v>
      </c>
      <c r="DT238" s="558" t="s">
        <v>67</v>
      </c>
      <c r="DU238" s="559" t="s">
        <v>67</v>
      </c>
      <c r="DV238" s="559" t="s">
        <v>67</v>
      </c>
      <c r="DW238" s="559" t="s">
        <v>67</v>
      </c>
      <c r="DX238" s="560" t="s">
        <v>67</v>
      </c>
      <c r="DY238" s="561" t="s">
        <v>67</v>
      </c>
      <c r="DZ238" s="664" t="s">
        <v>67</v>
      </c>
      <c r="EA238" s="561" t="s">
        <v>67</v>
      </c>
      <c r="EB238" s="562" t="s">
        <v>67</v>
      </c>
    </row>
    <row r="239" spans="1:132" x14ac:dyDescent="0.2">
      <c r="A239" s="586" t="s">
        <v>580</v>
      </c>
      <c r="B239" s="587" t="s">
        <v>527</v>
      </c>
      <c r="C239" s="565" t="s">
        <v>199</v>
      </c>
      <c r="D239" s="588">
        <v>125</v>
      </c>
      <c r="E239" s="582">
        <v>124</v>
      </c>
      <c r="F239" s="582">
        <v>51</v>
      </c>
      <c r="G239" s="582">
        <v>51</v>
      </c>
      <c r="H239" s="583">
        <v>51</v>
      </c>
      <c r="I239" s="584">
        <f t="shared" si="374"/>
        <v>0.41129032258064518</v>
      </c>
      <c r="J239" s="585">
        <f t="shared" si="375"/>
        <v>1</v>
      </c>
      <c r="K239" s="588">
        <v>244</v>
      </c>
      <c r="L239" s="582">
        <v>239</v>
      </c>
      <c r="M239" s="582">
        <v>156</v>
      </c>
      <c r="N239" s="582">
        <v>156</v>
      </c>
      <c r="O239" s="583">
        <v>153</v>
      </c>
      <c r="P239" s="584">
        <f t="shared" si="406"/>
        <v>0.65271966527196656</v>
      </c>
      <c r="Q239" s="585">
        <f t="shared" si="407"/>
        <v>1</v>
      </c>
      <c r="R239" s="588">
        <v>257</v>
      </c>
      <c r="S239" s="582">
        <v>255</v>
      </c>
      <c r="T239" s="582">
        <v>255</v>
      </c>
      <c r="U239" s="582">
        <v>255</v>
      </c>
      <c r="V239" s="583">
        <v>106</v>
      </c>
      <c r="W239" s="584">
        <f t="shared" si="372"/>
        <v>1</v>
      </c>
      <c r="X239" s="585">
        <f t="shared" si="373"/>
        <v>1</v>
      </c>
      <c r="Y239" s="588">
        <v>171</v>
      </c>
      <c r="Z239" s="582">
        <v>169</v>
      </c>
      <c r="AA239" s="582">
        <v>169</v>
      </c>
      <c r="AB239" s="582">
        <v>169</v>
      </c>
      <c r="AC239" s="583">
        <v>71</v>
      </c>
      <c r="AD239" s="584">
        <f>AB239/Z239</f>
        <v>1</v>
      </c>
      <c r="AE239" s="585">
        <f>AB239/AA239</f>
        <v>1</v>
      </c>
      <c r="AF239" s="588">
        <v>225</v>
      </c>
      <c r="AG239" s="582">
        <v>225</v>
      </c>
      <c r="AH239" s="582">
        <v>212</v>
      </c>
      <c r="AI239" s="582">
        <v>212</v>
      </c>
      <c r="AJ239" s="583">
        <v>86</v>
      </c>
      <c r="AK239" s="584">
        <f>AI239/AG239</f>
        <v>0.94222222222222218</v>
      </c>
      <c r="AL239" s="585">
        <f>AI239/AH239</f>
        <v>1</v>
      </c>
      <c r="AM239" s="588">
        <v>168</v>
      </c>
      <c r="AN239" s="582">
        <v>164</v>
      </c>
      <c r="AO239" s="582">
        <v>162</v>
      </c>
      <c r="AP239" s="582">
        <v>162</v>
      </c>
      <c r="AQ239" s="583">
        <v>80</v>
      </c>
      <c r="AR239" s="584">
        <f>AP239/AN239</f>
        <v>0.98780487804878048</v>
      </c>
      <c r="AS239" s="585">
        <f>AP239/AO239</f>
        <v>1</v>
      </c>
      <c r="AT239" s="588">
        <v>142</v>
      </c>
      <c r="AU239" s="582">
        <v>141</v>
      </c>
      <c r="AV239" s="582">
        <v>104</v>
      </c>
      <c r="AW239" s="582">
        <v>104</v>
      </c>
      <c r="AX239" s="583">
        <v>61</v>
      </c>
      <c r="AY239" s="584">
        <f>AW239/AU239</f>
        <v>0.73758865248226946</v>
      </c>
      <c r="AZ239" s="585">
        <f>AW239/AV239</f>
        <v>1</v>
      </c>
      <c r="BA239" s="588">
        <v>110</v>
      </c>
      <c r="BB239" s="582">
        <v>109</v>
      </c>
      <c r="BC239" s="582">
        <v>80</v>
      </c>
      <c r="BD239" s="582">
        <v>80</v>
      </c>
      <c r="BE239" s="583">
        <v>57</v>
      </c>
      <c r="BF239" s="584">
        <f>BD239/BB239</f>
        <v>0.73394495412844041</v>
      </c>
      <c r="BG239" s="585">
        <f>BD239/BC239</f>
        <v>1</v>
      </c>
      <c r="BH239" s="588">
        <v>100</v>
      </c>
      <c r="BI239" s="582">
        <v>100</v>
      </c>
      <c r="BJ239" s="582">
        <v>62</v>
      </c>
      <c r="BK239" s="582">
        <v>62</v>
      </c>
      <c r="BL239" s="583">
        <v>42</v>
      </c>
      <c r="BM239" s="584">
        <f>BK239/BI239</f>
        <v>0.62</v>
      </c>
      <c r="BN239" s="585">
        <f>BK239/BJ239</f>
        <v>1</v>
      </c>
      <c r="BO239" s="588">
        <v>99</v>
      </c>
      <c r="BP239" s="582">
        <v>95</v>
      </c>
      <c r="BQ239" s="582">
        <v>58</v>
      </c>
      <c r="BR239" s="582">
        <v>58</v>
      </c>
      <c r="BS239" s="583">
        <v>32</v>
      </c>
      <c r="BT239" s="584">
        <f>BR239/BP239</f>
        <v>0.61052631578947369</v>
      </c>
      <c r="BU239" s="585">
        <f>BR239/BQ239</f>
        <v>1</v>
      </c>
      <c r="BV239" s="588">
        <v>87</v>
      </c>
      <c r="BW239" s="582">
        <v>86</v>
      </c>
      <c r="BX239" s="582">
        <v>49</v>
      </c>
      <c r="BY239" s="582">
        <v>49</v>
      </c>
      <c r="BZ239" s="583">
        <v>36</v>
      </c>
      <c r="CA239" s="584">
        <f>BY239/BW239</f>
        <v>0.56976744186046513</v>
      </c>
      <c r="CB239" s="585">
        <f>BY239/BX239</f>
        <v>1</v>
      </c>
      <c r="CC239" s="588">
        <v>72</v>
      </c>
      <c r="CD239" s="582">
        <v>68</v>
      </c>
      <c r="CE239" s="582">
        <v>39</v>
      </c>
      <c r="CF239" s="582">
        <v>39</v>
      </c>
      <c r="CG239" s="583">
        <v>31</v>
      </c>
      <c r="CH239" s="584">
        <f>CF239/CD239</f>
        <v>0.57352941176470584</v>
      </c>
      <c r="CI239" s="585">
        <f>CF239/CE239</f>
        <v>1</v>
      </c>
      <c r="CJ239" s="588">
        <v>55</v>
      </c>
      <c r="CK239" s="582">
        <v>53</v>
      </c>
      <c r="CL239" s="582">
        <v>31</v>
      </c>
      <c r="CM239" s="582">
        <v>31</v>
      </c>
      <c r="CN239" s="583">
        <v>27</v>
      </c>
      <c r="CO239" s="584">
        <f>CM239/CK239</f>
        <v>0.58490566037735847</v>
      </c>
      <c r="CP239" s="665">
        <f>CM239/CL239</f>
        <v>1</v>
      </c>
      <c r="CQ239" s="584">
        <v>0.58490566037735847</v>
      </c>
      <c r="CR239" s="585">
        <v>1</v>
      </c>
      <c r="CS239" s="588">
        <v>50</v>
      </c>
      <c r="CT239" s="582">
        <v>47</v>
      </c>
      <c r="CU239" s="582">
        <v>16</v>
      </c>
      <c r="CV239" s="582">
        <v>16</v>
      </c>
      <c r="CW239" s="583">
        <v>13</v>
      </c>
      <c r="CX239" s="584">
        <f>CV239/CT239</f>
        <v>0.34042553191489361</v>
      </c>
      <c r="CY239" s="665">
        <f>CV239/CU239</f>
        <v>1</v>
      </c>
      <c r="CZ239" s="584">
        <v>0.34042553191489361</v>
      </c>
      <c r="DA239" s="585">
        <v>1</v>
      </c>
      <c r="DB239" s="588" t="s">
        <v>67</v>
      </c>
      <c r="DC239" s="582" t="s">
        <v>67</v>
      </c>
      <c r="DD239" s="582" t="s">
        <v>67</v>
      </c>
      <c r="DE239" s="582" t="s">
        <v>67</v>
      </c>
      <c r="DF239" s="583" t="s">
        <v>67</v>
      </c>
      <c r="DG239" s="584" t="e">
        <f>DE239/DC239</f>
        <v>#VALUE!</v>
      </c>
      <c r="DH239" s="663" t="s">
        <v>67</v>
      </c>
      <c r="DI239" s="523" t="s">
        <v>67</v>
      </c>
      <c r="DJ239" s="524" t="s">
        <v>67</v>
      </c>
      <c r="DK239" s="535" t="s">
        <v>67</v>
      </c>
      <c r="DL239" s="521" t="s">
        <v>67</v>
      </c>
      <c r="DM239" s="521" t="s">
        <v>67</v>
      </c>
      <c r="DN239" s="521" t="s">
        <v>67</v>
      </c>
      <c r="DO239" s="522" t="s">
        <v>67</v>
      </c>
      <c r="DP239" s="523" t="s">
        <v>67</v>
      </c>
      <c r="DQ239" s="663" t="s">
        <v>67</v>
      </c>
      <c r="DR239" s="523" t="s">
        <v>67</v>
      </c>
      <c r="DS239" s="524" t="s">
        <v>67</v>
      </c>
      <c r="DT239" s="535" t="s">
        <v>67</v>
      </c>
      <c r="DU239" s="521" t="s">
        <v>67</v>
      </c>
      <c r="DV239" s="521" t="s">
        <v>67</v>
      </c>
      <c r="DW239" s="521" t="s">
        <v>67</v>
      </c>
      <c r="DX239" s="522" t="s">
        <v>67</v>
      </c>
      <c r="DY239" s="523" t="s">
        <v>67</v>
      </c>
      <c r="DZ239" s="663" t="s">
        <v>67</v>
      </c>
      <c r="EA239" s="523" t="s">
        <v>67</v>
      </c>
      <c r="EB239" s="524" t="s">
        <v>67</v>
      </c>
    </row>
    <row r="240" spans="1:132" ht="25.5" x14ac:dyDescent="0.2">
      <c r="A240" s="580" t="s">
        <v>528</v>
      </c>
      <c r="B240" s="489" t="s">
        <v>529</v>
      </c>
      <c r="C240" s="565" t="s">
        <v>199</v>
      </c>
      <c r="D240" s="535">
        <v>71</v>
      </c>
      <c r="E240" s="582">
        <v>71</v>
      </c>
      <c r="F240" s="582">
        <v>37</v>
      </c>
      <c r="G240" s="582">
        <v>23</v>
      </c>
      <c r="H240" s="583">
        <v>21</v>
      </c>
      <c r="I240" s="584">
        <f t="shared" si="374"/>
        <v>0.323943661971831</v>
      </c>
      <c r="J240" s="585">
        <f t="shared" si="375"/>
        <v>0.6216216216216216</v>
      </c>
      <c r="K240" s="535">
        <v>79</v>
      </c>
      <c r="L240" s="582">
        <v>78</v>
      </c>
      <c r="M240" s="582">
        <v>47</v>
      </c>
      <c r="N240" s="582">
        <v>20</v>
      </c>
      <c r="O240" s="583">
        <v>19</v>
      </c>
      <c r="P240" s="584">
        <f t="shared" si="406"/>
        <v>0.25641025641025639</v>
      </c>
      <c r="Q240" s="585">
        <f t="shared" si="407"/>
        <v>0.42553191489361702</v>
      </c>
      <c r="R240" s="535">
        <v>78</v>
      </c>
      <c r="S240" s="582">
        <v>76</v>
      </c>
      <c r="T240" s="582">
        <v>10</v>
      </c>
      <c r="U240" s="582">
        <v>10</v>
      </c>
      <c r="V240" s="583">
        <v>6</v>
      </c>
      <c r="W240" s="584">
        <f t="shared" si="372"/>
        <v>0.13157894736842105</v>
      </c>
      <c r="X240" s="585">
        <f t="shared" si="373"/>
        <v>1</v>
      </c>
      <c r="Y240" s="535">
        <v>46</v>
      </c>
      <c r="Z240" s="582">
        <v>45</v>
      </c>
      <c r="AA240" s="582">
        <v>22</v>
      </c>
      <c r="AB240" s="582">
        <v>22</v>
      </c>
      <c r="AC240" s="583">
        <v>22</v>
      </c>
      <c r="AD240" s="584">
        <f>AB240/Z240</f>
        <v>0.48888888888888887</v>
      </c>
      <c r="AE240" s="585">
        <f>AB240/AA240</f>
        <v>1</v>
      </c>
      <c r="AF240" s="535">
        <v>8</v>
      </c>
      <c r="AG240" s="582">
        <v>8</v>
      </c>
      <c r="AH240" s="582">
        <v>8</v>
      </c>
      <c r="AI240" s="582">
        <v>1</v>
      </c>
      <c r="AJ240" s="583">
        <v>1</v>
      </c>
      <c r="AK240" s="584">
        <f>AI240/AG240</f>
        <v>0.125</v>
      </c>
      <c r="AL240" s="585">
        <f>AI240/AH240</f>
        <v>0.125</v>
      </c>
      <c r="AM240" s="535" t="s">
        <v>67</v>
      </c>
      <c r="AN240" s="582" t="s">
        <v>67</v>
      </c>
      <c r="AO240" s="582" t="s">
        <v>67</v>
      </c>
      <c r="AP240" s="582" t="s">
        <v>67</v>
      </c>
      <c r="AQ240" s="583" t="s">
        <v>67</v>
      </c>
      <c r="AR240" s="584" t="s">
        <v>67</v>
      </c>
      <c r="AS240" s="585" t="s">
        <v>67</v>
      </c>
      <c r="AT240" s="535" t="s">
        <v>67</v>
      </c>
      <c r="AU240" s="582" t="s">
        <v>67</v>
      </c>
      <c r="AV240" s="582" t="s">
        <v>67</v>
      </c>
      <c r="AW240" s="582" t="s">
        <v>67</v>
      </c>
      <c r="AX240" s="583" t="s">
        <v>67</v>
      </c>
      <c r="AY240" s="584" t="s">
        <v>67</v>
      </c>
      <c r="AZ240" s="585" t="s">
        <v>67</v>
      </c>
      <c r="BA240" s="535" t="s">
        <v>67</v>
      </c>
      <c r="BB240" s="582" t="s">
        <v>67</v>
      </c>
      <c r="BC240" s="582" t="s">
        <v>67</v>
      </c>
      <c r="BD240" s="582" t="s">
        <v>67</v>
      </c>
      <c r="BE240" s="583" t="s">
        <v>67</v>
      </c>
      <c r="BF240" s="584" t="s">
        <v>67</v>
      </c>
      <c r="BG240" s="585" t="s">
        <v>67</v>
      </c>
      <c r="BH240" s="535" t="s">
        <v>67</v>
      </c>
      <c r="BI240" s="582" t="s">
        <v>67</v>
      </c>
      <c r="BJ240" s="582" t="s">
        <v>67</v>
      </c>
      <c r="BK240" s="582" t="s">
        <v>67</v>
      </c>
      <c r="BL240" s="583" t="s">
        <v>67</v>
      </c>
      <c r="BM240" s="584" t="s">
        <v>67</v>
      </c>
      <c r="BN240" s="585" t="s">
        <v>67</v>
      </c>
      <c r="BO240" s="535" t="s">
        <v>67</v>
      </c>
      <c r="BP240" s="582" t="s">
        <v>67</v>
      </c>
      <c r="BQ240" s="582" t="s">
        <v>67</v>
      </c>
      <c r="BR240" s="582" t="s">
        <v>67</v>
      </c>
      <c r="BS240" s="583" t="s">
        <v>67</v>
      </c>
      <c r="BT240" s="584" t="s">
        <v>67</v>
      </c>
      <c r="BU240" s="585" t="s">
        <v>67</v>
      </c>
      <c r="BV240" s="535" t="s">
        <v>67</v>
      </c>
      <c r="BW240" s="582" t="s">
        <v>67</v>
      </c>
      <c r="BX240" s="582" t="s">
        <v>67</v>
      </c>
      <c r="BY240" s="582" t="s">
        <v>67</v>
      </c>
      <c r="BZ240" s="583" t="s">
        <v>67</v>
      </c>
      <c r="CA240" s="584" t="s">
        <v>67</v>
      </c>
      <c r="CB240" s="585" t="s">
        <v>67</v>
      </c>
      <c r="CC240" s="558" t="s">
        <v>67</v>
      </c>
      <c r="CD240" s="559" t="s">
        <v>67</v>
      </c>
      <c r="CE240" s="559" t="s">
        <v>67</v>
      </c>
      <c r="CF240" s="559" t="s">
        <v>67</v>
      </c>
      <c r="CG240" s="560" t="s">
        <v>67</v>
      </c>
      <c r="CH240" s="584" t="s">
        <v>67</v>
      </c>
      <c r="CI240" s="585" t="s">
        <v>67</v>
      </c>
      <c r="CJ240" s="558" t="s">
        <v>67</v>
      </c>
      <c r="CK240" s="559" t="s">
        <v>67</v>
      </c>
      <c r="CL240" s="559" t="s">
        <v>67</v>
      </c>
      <c r="CM240" s="559" t="s">
        <v>67</v>
      </c>
      <c r="CN240" s="560" t="s">
        <v>67</v>
      </c>
      <c r="CO240" s="584" t="s">
        <v>67</v>
      </c>
      <c r="CP240" s="664" t="s">
        <v>67</v>
      </c>
      <c r="CQ240" s="584" t="s">
        <v>67</v>
      </c>
      <c r="CR240" s="585" t="s">
        <v>67</v>
      </c>
      <c r="CS240" s="558" t="s">
        <v>67</v>
      </c>
      <c r="CT240" s="559" t="s">
        <v>67</v>
      </c>
      <c r="CU240" s="559" t="s">
        <v>67</v>
      </c>
      <c r="CV240" s="559" t="s">
        <v>67</v>
      </c>
      <c r="CW240" s="560" t="s">
        <v>67</v>
      </c>
      <c r="CX240" s="584" t="s">
        <v>67</v>
      </c>
      <c r="CY240" s="664" t="s">
        <v>67</v>
      </c>
      <c r="CZ240" s="584" t="s">
        <v>67</v>
      </c>
      <c r="DA240" s="585" t="s">
        <v>67</v>
      </c>
      <c r="DB240" s="558" t="s">
        <v>67</v>
      </c>
      <c r="DC240" s="559" t="s">
        <v>67</v>
      </c>
      <c r="DD240" s="559" t="s">
        <v>67</v>
      </c>
      <c r="DE240" s="559" t="s">
        <v>67</v>
      </c>
      <c r="DF240" s="560" t="s">
        <v>67</v>
      </c>
      <c r="DG240" s="584" t="s">
        <v>67</v>
      </c>
      <c r="DH240" s="664" t="s">
        <v>67</v>
      </c>
      <c r="DI240" s="584" t="s">
        <v>67</v>
      </c>
      <c r="DJ240" s="585" t="s">
        <v>67</v>
      </c>
      <c r="DK240" s="558" t="s">
        <v>67</v>
      </c>
      <c r="DL240" s="559" t="s">
        <v>67</v>
      </c>
      <c r="DM240" s="559" t="s">
        <v>67</v>
      </c>
      <c r="DN240" s="559" t="s">
        <v>67</v>
      </c>
      <c r="DO240" s="560" t="s">
        <v>67</v>
      </c>
      <c r="DP240" s="584" t="s">
        <v>67</v>
      </c>
      <c r="DQ240" s="664" t="s">
        <v>67</v>
      </c>
      <c r="DR240" s="584" t="s">
        <v>67</v>
      </c>
      <c r="DS240" s="585" t="s">
        <v>67</v>
      </c>
      <c r="DT240" s="558" t="s">
        <v>67</v>
      </c>
      <c r="DU240" s="559" t="s">
        <v>67</v>
      </c>
      <c r="DV240" s="559" t="s">
        <v>67</v>
      </c>
      <c r="DW240" s="559" t="s">
        <v>67</v>
      </c>
      <c r="DX240" s="560" t="s">
        <v>67</v>
      </c>
      <c r="DY240" s="584" t="s">
        <v>67</v>
      </c>
      <c r="DZ240" s="664" t="s">
        <v>67</v>
      </c>
      <c r="EA240" s="584" t="s">
        <v>67</v>
      </c>
      <c r="EB240" s="585" t="s">
        <v>67</v>
      </c>
    </row>
    <row r="241" spans="1:132" x14ac:dyDescent="0.2">
      <c r="A241" s="580" t="s">
        <v>608</v>
      </c>
      <c r="B241" s="489" t="s">
        <v>530</v>
      </c>
      <c r="C241" s="581" t="s">
        <v>199</v>
      </c>
      <c r="D241" s="535">
        <v>176</v>
      </c>
      <c r="E241" s="582">
        <v>176</v>
      </c>
      <c r="F241" s="582">
        <v>176</v>
      </c>
      <c r="G241" s="582">
        <v>163</v>
      </c>
      <c r="H241" s="583">
        <v>151</v>
      </c>
      <c r="I241" s="584">
        <f t="shared" si="374"/>
        <v>0.92613636363636365</v>
      </c>
      <c r="J241" s="585">
        <f t="shared" si="375"/>
        <v>0.92613636363636365</v>
      </c>
      <c r="K241" s="535">
        <v>197</v>
      </c>
      <c r="L241" s="582">
        <v>196</v>
      </c>
      <c r="M241" s="582">
        <v>196</v>
      </c>
      <c r="N241" s="582">
        <v>186</v>
      </c>
      <c r="O241" s="583">
        <v>159</v>
      </c>
      <c r="P241" s="584">
        <f t="shared" si="406"/>
        <v>0.94897959183673475</v>
      </c>
      <c r="Q241" s="585">
        <f t="shared" si="407"/>
        <v>0.94897959183673475</v>
      </c>
      <c r="R241" s="535">
        <v>189</v>
      </c>
      <c r="S241" s="582">
        <v>189</v>
      </c>
      <c r="T241" s="582">
        <v>189</v>
      </c>
      <c r="U241" s="582">
        <v>163</v>
      </c>
      <c r="V241" s="583">
        <v>136</v>
      </c>
      <c r="W241" s="584">
        <f t="shared" si="372"/>
        <v>0.86243386243386244</v>
      </c>
      <c r="X241" s="585">
        <f t="shared" si="373"/>
        <v>0.86243386243386244</v>
      </c>
      <c r="Y241" s="535">
        <v>138</v>
      </c>
      <c r="Z241" s="582">
        <v>137</v>
      </c>
      <c r="AA241" s="582">
        <v>120</v>
      </c>
      <c r="AB241" s="582">
        <v>119</v>
      </c>
      <c r="AC241" s="583">
        <v>105</v>
      </c>
      <c r="AD241" s="584">
        <f>AB241/Z241</f>
        <v>0.86861313868613144</v>
      </c>
      <c r="AE241" s="585">
        <f>AB241/AA241</f>
        <v>0.9916666666666667</v>
      </c>
      <c r="AF241" s="535">
        <v>113</v>
      </c>
      <c r="AG241" s="582">
        <v>113</v>
      </c>
      <c r="AH241" s="582">
        <v>98</v>
      </c>
      <c r="AI241" s="582">
        <v>96</v>
      </c>
      <c r="AJ241" s="583">
        <v>79</v>
      </c>
      <c r="AK241" s="584">
        <f>AI241/AG241</f>
        <v>0.84955752212389379</v>
      </c>
      <c r="AL241" s="585">
        <f>AI241/AH241</f>
        <v>0.97959183673469385</v>
      </c>
      <c r="AM241" s="535">
        <v>104</v>
      </c>
      <c r="AN241" s="582">
        <v>104</v>
      </c>
      <c r="AO241" s="582">
        <v>95</v>
      </c>
      <c r="AP241" s="582">
        <v>93</v>
      </c>
      <c r="AQ241" s="583">
        <v>76</v>
      </c>
      <c r="AR241" s="584">
        <f>AP241/AN241</f>
        <v>0.89423076923076927</v>
      </c>
      <c r="AS241" s="585">
        <f>AP241/AO241</f>
        <v>0.97894736842105268</v>
      </c>
      <c r="AT241" s="535">
        <v>193</v>
      </c>
      <c r="AU241" s="582">
        <v>190</v>
      </c>
      <c r="AV241" s="582">
        <v>163</v>
      </c>
      <c r="AW241" s="582">
        <v>162</v>
      </c>
      <c r="AX241" s="583">
        <v>129</v>
      </c>
      <c r="AY241" s="584">
        <f>AW241/AU241</f>
        <v>0.85263157894736841</v>
      </c>
      <c r="AZ241" s="585">
        <f>AW241/AV241</f>
        <v>0.99386503067484666</v>
      </c>
      <c r="BA241" s="535">
        <v>173</v>
      </c>
      <c r="BB241" s="582">
        <v>170</v>
      </c>
      <c r="BC241" s="582">
        <v>168</v>
      </c>
      <c r="BD241" s="582">
        <v>137</v>
      </c>
      <c r="BE241" s="583">
        <v>111</v>
      </c>
      <c r="BF241" s="584">
        <f>BD241/BB241</f>
        <v>0.80588235294117649</v>
      </c>
      <c r="BG241" s="585">
        <f>BD241/BC241</f>
        <v>0.81547619047619047</v>
      </c>
      <c r="BH241" s="535">
        <v>170</v>
      </c>
      <c r="BI241" s="582">
        <v>167</v>
      </c>
      <c r="BJ241" s="582">
        <v>167</v>
      </c>
      <c r="BK241" s="582">
        <v>137</v>
      </c>
      <c r="BL241" s="583">
        <v>106</v>
      </c>
      <c r="BM241" s="584">
        <f>BK241/BI241</f>
        <v>0.82035928143712578</v>
      </c>
      <c r="BN241" s="585">
        <f>BK241/BJ241</f>
        <v>0.82035928143712578</v>
      </c>
      <c r="BO241" s="535">
        <v>143</v>
      </c>
      <c r="BP241" s="582">
        <v>142</v>
      </c>
      <c r="BQ241" s="582">
        <v>142</v>
      </c>
      <c r="BR241" s="582">
        <v>101</v>
      </c>
      <c r="BS241" s="583">
        <v>75</v>
      </c>
      <c r="BT241" s="584">
        <f>BR241/BP241</f>
        <v>0.71126760563380287</v>
      </c>
      <c r="BU241" s="585">
        <f>BR241/BQ241</f>
        <v>0.71126760563380287</v>
      </c>
      <c r="BV241" s="535">
        <v>157</v>
      </c>
      <c r="BW241" s="582">
        <v>155</v>
      </c>
      <c r="BX241" s="582">
        <v>106</v>
      </c>
      <c r="BY241" s="582">
        <v>106</v>
      </c>
      <c r="BZ241" s="583">
        <v>106</v>
      </c>
      <c r="CA241" s="584">
        <f>BY241/BW241</f>
        <v>0.68387096774193545</v>
      </c>
      <c r="CB241" s="585">
        <f>BY241/BX241</f>
        <v>1</v>
      </c>
      <c r="CC241" s="535">
        <v>90</v>
      </c>
      <c r="CD241" s="582">
        <v>88</v>
      </c>
      <c r="CE241" s="582">
        <v>83</v>
      </c>
      <c r="CF241" s="582">
        <v>82</v>
      </c>
      <c r="CG241" s="583">
        <v>66</v>
      </c>
      <c r="CH241" s="584">
        <f>CF241/CD241</f>
        <v>0.93181818181818177</v>
      </c>
      <c r="CI241" s="585">
        <f>CF241/CE241</f>
        <v>0.98795180722891562</v>
      </c>
      <c r="CJ241" s="535">
        <v>122</v>
      </c>
      <c r="CK241" s="582">
        <v>121</v>
      </c>
      <c r="CL241" s="582">
        <v>68</v>
      </c>
      <c r="CM241" s="582">
        <v>28</v>
      </c>
      <c r="CN241" s="583">
        <v>22</v>
      </c>
      <c r="CO241" s="584">
        <f>CM241/CK241</f>
        <v>0.23140495867768596</v>
      </c>
      <c r="CP241" s="665">
        <f>CM241/CL241</f>
        <v>0.41176470588235292</v>
      </c>
      <c r="CQ241" s="584">
        <v>0.23140495867768596</v>
      </c>
      <c r="CR241" s="585">
        <v>0.41176470588235292</v>
      </c>
      <c r="CS241" s="535">
        <v>30</v>
      </c>
      <c r="CT241" s="582">
        <v>30</v>
      </c>
      <c r="CU241" s="582">
        <v>11</v>
      </c>
      <c r="CV241" s="582">
        <v>11</v>
      </c>
      <c r="CW241" s="583">
        <v>9</v>
      </c>
      <c r="CX241" s="584">
        <f>CV241/CT241</f>
        <v>0.36666666666666664</v>
      </c>
      <c r="CY241" s="665">
        <f>CV241/CU241</f>
        <v>1</v>
      </c>
      <c r="CZ241" s="584">
        <v>0.36666666666666664</v>
      </c>
      <c r="DA241" s="585">
        <v>1</v>
      </c>
      <c r="DB241" s="535">
        <v>39</v>
      </c>
      <c r="DC241" s="582">
        <v>38</v>
      </c>
      <c r="DD241" s="582">
        <v>19</v>
      </c>
      <c r="DE241" s="582">
        <v>17</v>
      </c>
      <c r="DF241" s="583">
        <v>14</v>
      </c>
      <c r="DG241" s="584">
        <f>DE241/DC241</f>
        <v>0.44736842105263158</v>
      </c>
      <c r="DH241" s="663">
        <f>DE241/DD241</f>
        <v>0.89473684210526316</v>
      </c>
      <c r="DI241" s="523">
        <v>0.44736842105263158</v>
      </c>
      <c r="DJ241" s="524">
        <v>0.89473684210526316</v>
      </c>
      <c r="DK241" s="535">
        <v>39</v>
      </c>
      <c r="DL241" s="521">
        <v>39</v>
      </c>
      <c r="DM241" s="521">
        <v>15</v>
      </c>
      <c r="DN241" s="521">
        <v>12</v>
      </c>
      <c r="DO241" s="522">
        <v>11</v>
      </c>
      <c r="DP241" s="523">
        <f>DN241/DL241</f>
        <v>0.30769230769230771</v>
      </c>
      <c r="DQ241" s="663">
        <f>DN241/DM241</f>
        <v>0.8</v>
      </c>
      <c r="DR241" s="523">
        <v>0.30769230769230771</v>
      </c>
      <c r="DS241" s="524">
        <v>0.8</v>
      </c>
      <c r="DT241" s="535">
        <v>44</v>
      </c>
      <c r="DU241" s="521">
        <v>42</v>
      </c>
      <c r="DV241" s="521">
        <v>27</v>
      </c>
      <c r="DW241" s="521">
        <v>25</v>
      </c>
      <c r="DX241" s="522">
        <v>17</v>
      </c>
      <c r="DY241" s="523">
        <f>DW241/DU241</f>
        <v>0.59523809523809523</v>
      </c>
      <c r="DZ241" s="663">
        <f>DW241/DV241</f>
        <v>0.92592592592592593</v>
      </c>
      <c r="EA241" s="523">
        <v>0.59523809523809523</v>
      </c>
      <c r="EB241" s="524">
        <v>0.92592592592592593</v>
      </c>
    </row>
    <row r="242" spans="1:132" ht="38.25" x14ac:dyDescent="0.2">
      <c r="A242" s="580" t="s">
        <v>531</v>
      </c>
      <c r="B242" s="489" t="s">
        <v>532</v>
      </c>
      <c r="C242" s="581" t="s">
        <v>199</v>
      </c>
      <c r="D242" s="535" t="s">
        <v>67</v>
      </c>
      <c r="E242" s="582" t="s">
        <v>67</v>
      </c>
      <c r="F242" s="582" t="s">
        <v>67</v>
      </c>
      <c r="G242" s="582" t="s">
        <v>67</v>
      </c>
      <c r="H242" s="583" t="s">
        <v>67</v>
      </c>
      <c r="I242" s="584" t="s">
        <v>67</v>
      </c>
      <c r="J242" s="585" t="s">
        <v>67</v>
      </c>
      <c r="K242" s="535" t="s">
        <v>67</v>
      </c>
      <c r="L242" s="582" t="s">
        <v>67</v>
      </c>
      <c r="M242" s="582" t="s">
        <v>67</v>
      </c>
      <c r="N242" s="582" t="s">
        <v>67</v>
      </c>
      <c r="O242" s="583" t="s">
        <v>67</v>
      </c>
      <c r="P242" s="584" t="s">
        <v>67</v>
      </c>
      <c r="Q242" s="585" t="s">
        <v>67</v>
      </c>
      <c r="R242" s="535">
        <v>81</v>
      </c>
      <c r="S242" s="582">
        <v>78</v>
      </c>
      <c r="T242" s="582">
        <v>68</v>
      </c>
      <c r="U242" s="582">
        <v>66</v>
      </c>
      <c r="V242" s="583">
        <v>52</v>
      </c>
      <c r="W242" s="584">
        <f t="shared" si="372"/>
        <v>0.84615384615384615</v>
      </c>
      <c r="X242" s="585">
        <f t="shared" si="373"/>
        <v>0.97058823529411764</v>
      </c>
      <c r="Y242" s="535" t="s">
        <v>67</v>
      </c>
      <c r="Z242" s="582" t="s">
        <v>67</v>
      </c>
      <c r="AA242" s="582" t="s">
        <v>67</v>
      </c>
      <c r="AB242" s="582" t="s">
        <v>67</v>
      </c>
      <c r="AC242" s="583" t="s">
        <v>67</v>
      </c>
      <c r="AD242" s="584" t="s">
        <v>67</v>
      </c>
      <c r="AE242" s="585" t="s">
        <v>67</v>
      </c>
      <c r="AF242" s="535" t="s">
        <v>67</v>
      </c>
      <c r="AG242" s="582" t="s">
        <v>67</v>
      </c>
      <c r="AH242" s="582" t="s">
        <v>67</v>
      </c>
      <c r="AI242" s="582" t="s">
        <v>67</v>
      </c>
      <c r="AJ242" s="583" t="s">
        <v>67</v>
      </c>
      <c r="AK242" s="584" t="s">
        <v>67</v>
      </c>
      <c r="AL242" s="585" t="s">
        <v>67</v>
      </c>
      <c r="AM242" s="535" t="s">
        <v>67</v>
      </c>
      <c r="AN242" s="582" t="s">
        <v>67</v>
      </c>
      <c r="AO242" s="582" t="s">
        <v>67</v>
      </c>
      <c r="AP242" s="582" t="s">
        <v>67</v>
      </c>
      <c r="AQ242" s="583" t="s">
        <v>67</v>
      </c>
      <c r="AR242" s="584" t="s">
        <v>67</v>
      </c>
      <c r="AS242" s="585" t="s">
        <v>67</v>
      </c>
      <c r="AT242" s="535" t="s">
        <v>67</v>
      </c>
      <c r="AU242" s="582" t="s">
        <v>67</v>
      </c>
      <c r="AV242" s="582" t="s">
        <v>67</v>
      </c>
      <c r="AW242" s="582" t="s">
        <v>67</v>
      </c>
      <c r="AX242" s="583" t="s">
        <v>67</v>
      </c>
      <c r="AY242" s="584" t="s">
        <v>67</v>
      </c>
      <c r="AZ242" s="585" t="s">
        <v>67</v>
      </c>
      <c r="BA242" s="535" t="s">
        <v>67</v>
      </c>
      <c r="BB242" s="582" t="s">
        <v>67</v>
      </c>
      <c r="BC242" s="582" t="s">
        <v>67</v>
      </c>
      <c r="BD242" s="582" t="s">
        <v>67</v>
      </c>
      <c r="BE242" s="583" t="s">
        <v>67</v>
      </c>
      <c r="BF242" s="584" t="s">
        <v>67</v>
      </c>
      <c r="BG242" s="585" t="s">
        <v>67</v>
      </c>
      <c r="BH242" s="535" t="s">
        <v>67</v>
      </c>
      <c r="BI242" s="582" t="s">
        <v>67</v>
      </c>
      <c r="BJ242" s="582" t="s">
        <v>67</v>
      </c>
      <c r="BK242" s="582" t="s">
        <v>67</v>
      </c>
      <c r="BL242" s="583" t="s">
        <v>67</v>
      </c>
      <c r="BM242" s="584" t="s">
        <v>67</v>
      </c>
      <c r="BN242" s="585" t="s">
        <v>67</v>
      </c>
      <c r="BO242" s="535" t="s">
        <v>67</v>
      </c>
      <c r="BP242" s="582" t="s">
        <v>67</v>
      </c>
      <c r="BQ242" s="582" t="s">
        <v>67</v>
      </c>
      <c r="BR242" s="582" t="s">
        <v>67</v>
      </c>
      <c r="BS242" s="583" t="s">
        <v>67</v>
      </c>
      <c r="BT242" s="584" t="s">
        <v>67</v>
      </c>
      <c r="BU242" s="585" t="s">
        <v>67</v>
      </c>
      <c r="BV242" s="535" t="s">
        <v>67</v>
      </c>
      <c r="BW242" s="582" t="s">
        <v>67</v>
      </c>
      <c r="BX242" s="582" t="s">
        <v>67</v>
      </c>
      <c r="BY242" s="582" t="s">
        <v>67</v>
      </c>
      <c r="BZ242" s="583" t="s">
        <v>67</v>
      </c>
      <c r="CA242" s="584" t="s">
        <v>67</v>
      </c>
      <c r="CB242" s="585" t="s">
        <v>67</v>
      </c>
      <c r="CC242" s="558" t="s">
        <v>67</v>
      </c>
      <c r="CD242" s="559" t="s">
        <v>67</v>
      </c>
      <c r="CE242" s="559" t="s">
        <v>67</v>
      </c>
      <c r="CF242" s="559" t="s">
        <v>67</v>
      </c>
      <c r="CG242" s="560" t="s">
        <v>67</v>
      </c>
      <c r="CH242" s="584" t="s">
        <v>67</v>
      </c>
      <c r="CI242" s="585" t="s">
        <v>67</v>
      </c>
      <c r="CJ242" s="558" t="s">
        <v>67</v>
      </c>
      <c r="CK242" s="559" t="s">
        <v>67</v>
      </c>
      <c r="CL242" s="559" t="s">
        <v>67</v>
      </c>
      <c r="CM242" s="559" t="s">
        <v>67</v>
      </c>
      <c r="CN242" s="560" t="s">
        <v>67</v>
      </c>
      <c r="CO242" s="584" t="s">
        <v>67</v>
      </c>
      <c r="CP242" s="664" t="s">
        <v>67</v>
      </c>
      <c r="CQ242" s="584" t="s">
        <v>67</v>
      </c>
      <c r="CR242" s="585" t="s">
        <v>67</v>
      </c>
      <c r="CS242" s="558" t="s">
        <v>67</v>
      </c>
      <c r="CT242" s="559" t="s">
        <v>67</v>
      </c>
      <c r="CU242" s="559" t="s">
        <v>67</v>
      </c>
      <c r="CV242" s="559" t="s">
        <v>67</v>
      </c>
      <c r="CW242" s="560" t="s">
        <v>67</v>
      </c>
      <c r="CX242" s="584" t="s">
        <v>67</v>
      </c>
      <c r="CY242" s="664" t="s">
        <v>67</v>
      </c>
      <c r="CZ242" s="584" t="s">
        <v>67</v>
      </c>
      <c r="DA242" s="585" t="s">
        <v>67</v>
      </c>
      <c r="DB242" s="558" t="s">
        <v>67</v>
      </c>
      <c r="DC242" s="559" t="s">
        <v>67</v>
      </c>
      <c r="DD242" s="559" t="s">
        <v>67</v>
      </c>
      <c r="DE242" s="559" t="s">
        <v>67</v>
      </c>
      <c r="DF242" s="560" t="s">
        <v>67</v>
      </c>
      <c r="DG242" s="584" t="s">
        <v>67</v>
      </c>
      <c r="DH242" s="664" t="s">
        <v>67</v>
      </c>
      <c r="DI242" s="584" t="s">
        <v>67</v>
      </c>
      <c r="DJ242" s="585" t="s">
        <v>67</v>
      </c>
      <c r="DK242" s="558" t="s">
        <v>67</v>
      </c>
      <c r="DL242" s="559" t="s">
        <v>67</v>
      </c>
      <c r="DM242" s="559" t="s">
        <v>67</v>
      </c>
      <c r="DN242" s="559" t="s">
        <v>67</v>
      </c>
      <c r="DO242" s="560" t="s">
        <v>67</v>
      </c>
      <c r="DP242" s="584" t="s">
        <v>67</v>
      </c>
      <c r="DQ242" s="664" t="s">
        <v>67</v>
      </c>
      <c r="DR242" s="584" t="s">
        <v>67</v>
      </c>
      <c r="DS242" s="585" t="s">
        <v>67</v>
      </c>
      <c r="DT242" s="558" t="s">
        <v>67</v>
      </c>
      <c r="DU242" s="559" t="s">
        <v>67</v>
      </c>
      <c r="DV242" s="559" t="s">
        <v>67</v>
      </c>
      <c r="DW242" s="559" t="s">
        <v>67</v>
      </c>
      <c r="DX242" s="560" t="s">
        <v>67</v>
      </c>
      <c r="DY242" s="584" t="s">
        <v>67</v>
      </c>
      <c r="DZ242" s="664" t="s">
        <v>67</v>
      </c>
      <c r="EA242" s="584" t="s">
        <v>67</v>
      </c>
      <c r="EB242" s="585" t="s">
        <v>67</v>
      </c>
    </row>
    <row r="243" spans="1:132" x14ac:dyDescent="0.2">
      <c r="A243" s="580" t="s">
        <v>602</v>
      </c>
      <c r="B243" s="489" t="s">
        <v>533</v>
      </c>
      <c r="C243" s="581" t="s">
        <v>199</v>
      </c>
      <c r="D243" s="535">
        <v>31</v>
      </c>
      <c r="E243" s="582">
        <v>30</v>
      </c>
      <c r="F243" s="582">
        <v>30</v>
      </c>
      <c r="G243" s="582">
        <v>25</v>
      </c>
      <c r="H243" s="583">
        <v>16</v>
      </c>
      <c r="I243" s="584">
        <f t="shared" si="374"/>
        <v>0.83333333333333337</v>
      </c>
      <c r="J243" s="585">
        <f t="shared" si="375"/>
        <v>0.83333333333333337</v>
      </c>
      <c r="K243" s="535">
        <v>23</v>
      </c>
      <c r="L243" s="582">
        <v>23</v>
      </c>
      <c r="M243" s="582">
        <v>23</v>
      </c>
      <c r="N243" s="582">
        <v>16</v>
      </c>
      <c r="O243" s="583">
        <v>12</v>
      </c>
      <c r="P243" s="584">
        <f>N243/L243</f>
        <v>0.69565217391304346</v>
      </c>
      <c r="Q243" s="585">
        <f>N243/M243</f>
        <v>0.69565217391304346</v>
      </c>
      <c r="R243" s="535">
        <v>13</v>
      </c>
      <c r="S243" s="582">
        <v>8</v>
      </c>
      <c r="T243" s="582">
        <v>8</v>
      </c>
      <c r="U243" s="582">
        <v>8</v>
      </c>
      <c r="V243" s="583">
        <v>8</v>
      </c>
      <c r="W243" s="584">
        <f t="shared" si="372"/>
        <v>1</v>
      </c>
      <c r="X243" s="585">
        <f t="shared" si="373"/>
        <v>1</v>
      </c>
      <c r="Y243" s="535">
        <v>67</v>
      </c>
      <c r="Z243" s="582">
        <v>67</v>
      </c>
      <c r="AA243" s="582">
        <v>67</v>
      </c>
      <c r="AB243" s="582">
        <v>52</v>
      </c>
      <c r="AC243" s="583">
        <v>41</v>
      </c>
      <c r="AD243" s="584">
        <f>AB243/Z243</f>
        <v>0.77611940298507465</v>
      </c>
      <c r="AE243" s="585">
        <f>AB243/AA243</f>
        <v>0.77611940298507465</v>
      </c>
      <c r="AF243" s="535">
        <v>66</v>
      </c>
      <c r="AG243" s="582">
        <v>66</v>
      </c>
      <c r="AH243" s="582">
        <v>66</v>
      </c>
      <c r="AI243" s="582">
        <v>57</v>
      </c>
      <c r="AJ243" s="583">
        <v>51</v>
      </c>
      <c r="AK243" s="584">
        <f>AI243/AG243</f>
        <v>0.86363636363636365</v>
      </c>
      <c r="AL243" s="585">
        <f>AI243/AH243</f>
        <v>0.86363636363636365</v>
      </c>
      <c r="AM243" s="535">
        <v>78</v>
      </c>
      <c r="AN243" s="582">
        <v>78</v>
      </c>
      <c r="AO243" s="582">
        <v>78</v>
      </c>
      <c r="AP243" s="582">
        <v>66</v>
      </c>
      <c r="AQ243" s="583">
        <v>49</v>
      </c>
      <c r="AR243" s="584">
        <f>AP243/AN243</f>
        <v>0.84615384615384615</v>
      </c>
      <c r="AS243" s="585">
        <f>AP243/AO243</f>
        <v>0.84615384615384615</v>
      </c>
      <c r="AT243" s="535">
        <v>35</v>
      </c>
      <c r="AU243" s="582">
        <v>35</v>
      </c>
      <c r="AV243" s="582">
        <v>29</v>
      </c>
      <c r="AW243" s="582">
        <v>29</v>
      </c>
      <c r="AX243" s="583">
        <v>25</v>
      </c>
      <c r="AY243" s="584">
        <f>AW243/AU243</f>
        <v>0.82857142857142863</v>
      </c>
      <c r="AZ243" s="585">
        <f>AW243/AV243</f>
        <v>1</v>
      </c>
      <c r="BA243" s="535">
        <v>47</v>
      </c>
      <c r="BB243" s="582">
        <v>47</v>
      </c>
      <c r="BC243" s="582">
        <v>47</v>
      </c>
      <c r="BD243" s="582">
        <v>29</v>
      </c>
      <c r="BE243" s="583">
        <v>24</v>
      </c>
      <c r="BF243" s="584">
        <f>BD243/BB243</f>
        <v>0.61702127659574468</v>
      </c>
      <c r="BG243" s="585">
        <f>BD243/BC243</f>
        <v>0.61702127659574468</v>
      </c>
      <c r="BH243" s="535">
        <v>43</v>
      </c>
      <c r="BI243" s="582">
        <v>42</v>
      </c>
      <c r="BJ243" s="582">
        <v>42</v>
      </c>
      <c r="BK243" s="582">
        <v>34</v>
      </c>
      <c r="BL243" s="583">
        <v>26</v>
      </c>
      <c r="BM243" s="584">
        <f>BK243/BI243</f>
        <v>0.80952380952380953</v>
      </c>
      <c r="BN243" s="585">
        <f>BK243/BJ243</f>
        <v>0.80952380952380953</v>
      </c>
      <c r="BO243" s="535">
        <v>44</v>
      </c>
      <c r="BP243" s="582">
        <v>44</v>
      </c>
      <c r="BQ243" s="582">
        <v>44</v>
      </c>
      <c r="BR243" s="582">
        <v>33</v>
      </c>
      <c r="BS243" s="583">
        <v>25</v>
      </c>
      <c r="BT243" s="584">
        <f>BR243/BP243</f>
        <v>0.75</v>
      </c>
      <c r="BU243" s="585">
        <f>BR243/BQ243</f>
        <v>0.75</v>
      </c>
      <c r="BV243" s="535">
        <v>32</v>
      </c>
      <c r="BW243" s="582">
        <v>32</v>
      </c>
      <c r="BX243" s="582">
        <v>32</v>
      </c>
      <c r="BY243" s="582">
        <v>27</v>
      </c>
      <c r="BZ243" s="583">
        <v>20</v>
      </c>
      <c r="CA243" s="584">
        <f>BY243/BW243</f>
        <v>0.84375</v>
      </c>
      <c r="CB243" s="585">
        <f>BY243/BX243</f>
        <v>0.84375</v>
      </c>
      <c r="CC243" s="535">
        <v>6</v>
      </c>
      <c r="CD243" s="582">
        <v>6</v>
      </c>
      <c r="CE243" s="582">
        <v>6</v>
      </c>
      <c r="CF243" s="582">
        <v>0</v>
      </c>
      <c r="CG243" s="583">
        <v>0</v>
      </c>
      <c r="CH243" s="584">
        <f>CF243/CD243</f>
        <v>0</v>
      </c>
      <c r="CI243" s="585">
        <f>CF243/CE243</f>
        <v>0</v>
      </c>
      <c r="CJ243" s="535">
        <v>19</v>
      </c>
      <c r="CK243" s="582">
        <v>19</v>
      </c>
      <c r="CL243" s="582">
        <v>19</v>
      </c>
      <c r="CM243" s="582">
        <v>19</v>
      </c>
      <c r="CN243" s="583">
        <v>19</v>
      </c>
      <c r="CO243" s="584">
        <f>CM243/CK243</f>
        <v>1</v>
      </c>
      <c r="CP243" s="665">
        <f>CM243/CL243</f>
        <v>1</v>
      </c>
      <c r="CQ243" s="584">
        <v>1</v>
      </c>
      <c r="CR243" s="585">
        <v>1</v>
      </c>
      <c r="CS243" s="535">
        <v>11</v>
      </c>
      <c r="CT243" s="582">
        <v>11</v>
      </c>
      <c r="CU243" s="582">
        <v>11</v>
      </c>
      <c r="CV243" s="582">
        <v>11</v>
      </c>
      <c r="CW243" s="583">
        <v>10</v>
      </c>
      <c r="CX243" s="584">
        <f>CV243/CT243</f>
        <v>1</v>
      </c>
      <c r="CY243" s="665">
        <f>CV243/CU243</f>
        <v>1</v>
      </c>
      <c r="CZ243" s="584">
        <v>1</v>
      </c>
      <c r="DA243" s="585">
        <v>1</v>
      </c>
      <c r="DB243" s="535">
        <v>19</v>
      </c>
      <c r="DC243" s="582">
        <v>19</v>
      </c>
      <c r="DD243" s="582">
        <v>19</v>
      </c>
      <c r="DE243" s="582">
        <v>18</v>
      </c>
      <c r="DF243" s="583">
        <v>16</v>
      </c>
      <c r="DG243" s="584">
        <f>DE243/DC243</f>
        <v>0.94736842105263153</v>
      </c>
      <c r="DH243" s="665">
        <f>DE243/DD243</f>
        <v>0.94736842105263153</v>
      </c>
      <c r="DI243" s="584">
        <v>0.94736842105263153</v>
      </c>
      <c r="DJ243" s="585">
        <v>0.94736842105263153</v>
      </c>
      <c r="DK243" s="535">
        <v>19</v>
      </c>
      <c r="DL243" s="582">
        <v>19</v>
      </c>
      <c r="DM243" s="582">
        <v>19</v>
      </c>
      <c r="DN243" s="582">
        <v>19</v>
      </c>
      <c r="DO243" s="583">
        <v>17</v>
      </c>
      <c r="DP243" s="584">
        <f>DN243/DL243</f>
        <v>1</v>
      </c>
      <c r="DQ243" s="665">
        <f>DN243/DM243</f>
        <v>1</v>
      </c>
      <c r="DR243" s="584">
        <v>1</v>
      </c>
      <c r="DS243" s="585">
        <v>1</v>
      </c>
      <c r="DT243" s="535" t="s">
        <v>67</v>
      </c>
      <c r="DU243" s="582" t="s">
        <v>67</v>
      </c>
      <c r="DV243" s="582" t="s">
        <v>67</v>
      </c>
      <c r="DW243" s="582" t="s">
        <v>67</v>
      </c>
      <c r="DX243" s="583" t="s">
        <v>67</v>
      </c>
      <c r="DY243" s="584" t="s">
        <v>67</v>
      </c>
      <c r="DZ243" s="665" t="s">
        <v>67</v>
      </c>
      <c r="EA243" s="584" t="s">
        <v>67</v>
      </c>
      <c r="EB243" s="585" t="s">
        <v>67</v>
      </c>
    </row>
    <row r="244" spans="1:132" x14ac:dyDescent="0.2">
      <c r="A244" s="580" t="s">
        <v>541</v>
      </c>
      <c r="B244" s="489" t="s">
        <v>534</v>
      </c>
      <c r="C244" s="581" t="s">
        <v>199</v>
      </c>
      <c r="D244" s="535" t="s">
        <v>67</v>
      </c>
      <c r="E244" s="582" t="s">
        <v>67</v>
      </c>
      <c r="F244" s="582" t="s">
        <v>67</v>
      </c>
      <c r="G244" s="582" t="s">
        <v>67</v>
      </c>
      <c r="H244" s="583" t="s">
        <v>67</v>
      </c>
      <c r="I244" s="584" t="s">
        <v>67</v>
      </c>
      <c r="J244" s="585" t="s">
        <v>67</v>
      </c>
      <c r="K244" s="535" t="s">
        <v>67</v>
      </c>
      <c r="L244" s="582" t="s">
        <v>67</v>
      </c>
      <c r="M244" s="582" t="s">
        <v>67</v>
      </c>
      <c r="N244" s="582" t="s">
        <v>67</v>
      </c>
      <c r="O244" s="583" t="s">
        <v>67</v>
      </c>
      <c r="P244" s="584" t="s">
        <v>67</v>
      </c>
      <c r="Q244" s="585" t="s">
        <v>67</v>
      </c>
      <c r="R244" s="535" t="s">
        <v>67</v>
      </c>
      <c r="S244" s="582" t="s">
        <v>67</v>
      </c>
      <c r="T244" s="582" t="s">
        <v>67</v>
      </c>
      <c r="U244" s="582" t="s">
        <v>67</v>
      </c>
      <c r="V244" s="583" t="s">
        <v>67</v>
      </c>
      <c r="W244" s="584" t="s">
        <v>67</v>
      </c>
      <c r="X244" s="585" t="s">
        <v>67</v>
      </c>
      <c r="Y244" s="535">
        <v>9</v>
      </c>
      <c r="Z244" s="582">
        <v>8</v>
      </c>
      <c r="AA244" s="582">
        <v>8</v>
      </c>
      <c r="AB244" s="582">
        <v>6</v>
      </c>
      <c r="AC244" s="583">
        <v>3</v>
      </c>
      <c r="AD244" s="584">
        <f>AB244/Z244</f>
        <v>0.75</v>
      </c>
      <c r="AE244" s="585">
        <f>AB244/AA244</f>
        <v>0.75</v>
      </c>
      <c r="AF244" s="535">
        <v>6</v>
      </c>
      <c r="AG244" s="582">
        <v>6</v>
      </c>
      <c r="AH244" s="582">
        <v>6</v>
      </c>
      <c r="AI244" s="582">
        <v>6</v>
      </c>
      <c r="AJ244" s="583">
        <v>2</v>
      </c>
      <c r="AK244" s="584">
        <f>AI244/AG244</f>
        <v>1</v>
      </c>
      <c r="AL244" s="585">
        <f>AI244/AH244</f>
        <v>1</v>
      </c>
      <c r="AM244" s="535">
        <v>5</v>
      </c>
      <c r="AN244" s="582">
        <v>5</v>
      </c>
      <c r="AO244" s="582">
        <v>5</v>
      </c>
      <c r="AP244" s="582">
        <v>5</v>
      </c>
      <c r="AQ244" s="583">
        <v>4</v>
      </c>
      <c r="AR244" s="584">
        <f>AP244/AN244</f>
        <v>1</v>
      </c>
      <c r="AS244" s="585">
        <f>AP244/AO244</f>
        <v>1</v>
      </c>
      <c r="AT244" s="535">
        <v>5</v>
      </c>
      <c r="AU244" s="582">
        <v>3</v>
      </c>
      <c r="AV244" s="582">
        <v>3</v>
      </c>
      <c r="AW244" s="582">
        <v>3</v>
      </c>
      <c r="AX244" s="583">
        <v>2</v>
      </c>
      <c r="AY244" s="584">
        <f>AW244/AU244</f>
        <v>1</v>
      </c>
      <c r="AZ244" s="585">
        <f>AW244/AV244</f>
        <v>1</v>
      </c>
      <c r="BA244" s="535">
        <v>6</v>
      </c>
      <c r="BB244" s="582">
        <v>0</v>
      </c>
      <c r="BC244" s="582">
        <v>0</v>
      </c>
      <c r="BD244" s="582">
        <v>0</v>
      </c>
      <c r="BE244" s="583">
        <v>0</v>
      </c>
      <c r="BF244" s="584" t="s">
        <v>67</v>
      </c>
      <c r="BG244" s="585" t="s">
        <v>67</v>
      </c>
      <c r="BH244" s="535">
        <v>2</v>
      </c>
      <c r="BI244" s="582">
        <v>2</v>
      </c>
      <c r="BJ244" s="582">
        <v>2</v>
      </c>
      <c r="BK244" s="582">
        <v>2</v>
      </c>
      <c r="BL244" s="583">
        <v>2</v>
      </c>
      <c r="BM244" s="584" t="s">
        <v>67</v>
      </c>
      <c r="BN244" s="585" t="s">
        <v>67</v>
      </c>
      <c r="BO244" s="535">
        <v>4</v>
      </c>
      <c r="BP244" s="582">
        <v>3</v>
      </c>
      <c r="BQ244" s="582">
        <v>3</v>
      </c>
      <c r="BR244" s="582">
        <v>2</v>
      </c>
      <c r="BS244" s="583">
        <v>1</v>
      </c>
      <c r="BT244" s="584">
        <f>BR244/BP244</f>
        <v>0.66666666666666663</v>
      </c>
      <c r="BU244" s="585">
        <f>BR244/BQ244</f>
        <v>0.66666666666666663</v>
      </c>
      <c r="BV244" s="535">
        <v>6</v>
      </c>
      <c r="BW244" s="582">
        <v>6</v>
      </c>
      <c r="BX244" s="582">
        <v>6</v>
      </c>
      <c r="BY244" s="582">
        <v>4</v>
      </c>
      <c r="BZ244" s="583">
        <v>2</v>
      </c>
      <c r="CA244" s="584">
        <f>BY244/BW244</f>
        <v>0.66666666666666663</v>
      </c>
      <c r="CB244" s="585">
        <f>BY244/BX244</f>
        <v>0.66666666666666663</v>
      </c>
      <c r="CC244" s="535">
        <v>15</v>
      </c>
      <c r="CD244" s="582">
        <v>14</v>
      </c>
      <c r="CE244" s="582">
        <v>14</v>
      </c>
      <c r="CF244" s="582">
        <v>13</v>
      </c>
      <c r="CG244" s="583">
        <v>9</v>
      </c>
      <c r="CH244" s="584">
        <f>CF244/CD244</f>
        <v>0.9285714285714286</v>
      </c>
      <c r="CI244" s="585">
        <f>CF244/CE244</f>
        <v>0.9285714285714286</v>
      </c>
      <c r="CJ244" s="535">
        <v>10</v>
      </c>
      <c r="CK244" s="582">
        <v>9</v>
      </c>
      <c r="CL244" s="582">
        <v>9</v>
      </c>
      <c r="CM244" s="582">
        <v>8</v>
      </c>
      <c r="CN244" s="583">
        <v>5</v>
      </c>
      <c r="CO244" s="584">
        <f>CM244/CK244</f>
        <v>0.88888888888888884</v>
      </c>
      <c r="CP244" s="665">
        <f>CM244/CL244</f>
        <v>0.88888888888888884</v>
      </c>
      <c r="CQ244" s="584">
        <v>0.88888888888888884</v>
      </c>
      <c r="CR244" s="585">
        <v>0.88888888888888884</v>
      </c>
      <c r="CS244" s="535">
        <v>5</v>
      </c>
      <c r="CT244" s="582">
        <v>5</v>
      </c>
      <c r="CU244" s="582">
        <v>5</v>
      </c>
      <c r="CV244" s="582">
        <v>5</v>
      </c>
      <c r="CW244" s="583">
        <v>4</v>
      </c>
      <c r="CX244" s="584">
        <f>CV244/CT244</f>
        <v>1</v>
      </c>
      <c r="CY244" s="665">
        <f>CV244/CU244</f>
        <v>1</v>
      </c>
      <c r="CZ244" s="584">
        <v>1</v>
      </c>
      <c r="DA244" s="585">
        <v>1</v>
      </c>
      <c r="DB244" s="535">
        <v>8</v>
      </c>
      <c r="DC244" s="582">
        <v>7</v>
      </c>
      <c r="DD244" s="582">
        <v>7</v>
      </c>
      <c r="DE244" s="582">
        <v>3</v>
      </c>
      <c r="DF244" s="583">
        <v>3</v>
      </c>
      <c r="DG244" s="584">
        <f>DE244/DC244</f>
        <v>0.42857142857142855</v>
      </c>
      <c r="DH244" s="665">
        <f>DE244/DD244</f>
        <v>0.42857142857142855</v>
      </c>
      <c r="DI244" s="584">
        <v>0.42857142857142855</v>
      </c>
      <c r="DJ244" s="585">
        <v>0.42857142857142855</v>
      </c>
      <c r="DK244" s="535">
        <v>8</v>
      </c>
      <c r="DL244" s="582">
        <v>6</v>
      </c>
      <c r="DM244" s="582">
        <v>6</v>
      </c>
      <c r="DN244" s="582">
        <v>5</v>
      </c>
      <c r="DO244" s="583">
        <v>5</v>
      </c>
      <c r="DP244" s="584">
        <f>DN244/DL244</f>
        <v>0.83333333333333337</v>
      </c>
      <c r="DQ244" s="665">
        <f>DN244/DM244</f>
        <v>0.83333333333333337</v>
      </c>
      <c r="DR244" s="584">
        <v>0.83333333333333337</v>
      </c>
      <c r="DS244" s="585">
        <v>0.83333333333333337</v>
      </c>
      <c r="DT244" s="535">
        <v>11</v>
      </c>
      <c r="DU244" s="582">
        <v>9</v>
      </c>
      <c r="DV244" s="582">
        <v>9</v>
      </c>
      <c r="DW244" s="582">
        <v>5</v>
      </c>
      <c r="DX244" s="583">
        <v>5</v>
      </c>
      <c r="DY244" s="584">
        <f>DW244/DU244</f>
        <v>0.55555555555555558</v>
      </c>
      <c r="DZ244" s="665">
        <f>DW244/DV244</f>
        <v>0.55555555555555558</v>
      </c>
      <c r="EA244" s="584">
        <v>0.55555555555555558</v>
      </c>
      <c r="EB244" s="585">
        <v>0.55555555555555558</v>
      </c>
    </row>
    <row r="245" spans="1:132" x14ac:dyDescent="0.2">
      <c r="A245" s="580" t="s">
        <v>581</v>
      </c>
      <c r="B245" s="489" t="s">
        <v>535</v>
      </c>
      <c r="C245" s="581" t="s">
        <v>199</v>
      </c>
      <c r="D245" s="535" t="s">
        <v>67</v>
      </c>
      <c r="E245" s="582" t="s">
        <v>67</v>
      </c>
      <c r="F245" s="582" t="s">
        <v>67</v>
      </c>
      <c r="G245" s="582" t="s">
        <v>67</v>
      </c>
      <c r="H245" s="583" t="s">
        <v>67</v>
      </c>
      <c r="I245" s="584" t="s">
        <v>67</v>
      </c>
      <c r="J245" s="585" t="s">
        <v>67</v>
      </c>
      <c r="K245" s="535" t="s">
        <v>67</v>
      </c>
      <c r="L245" s="582" t="s">
        <v>67</v>
      </c>
      <c r="M245" s="582" t="s">
        <v>67</v>
      </c>
      <c r="N245" s="582" t="s">
        <v>67</v>
      </c>
      <c r="O245" s="583" t="s">
        <v>67</v>
      </c>
      <c r="P245" s="584" t="s">
        <v>67</v>
      </c>
      <c r="Q245" s="585" t="s">
        <v>67</v>
      </c>
      <c r="R245" s="535" t="s">
        <v>67</v>
      </c>
      <c r="S245" s="582" t="s">
        <v>67</v>
      </c>
      <c r="T245" s="582" t="s">
        <v>67</v>
      </c>
      <c r="U245" s="582" t="s">
        <v>67</v>
      </c>
      <c r="V245" s="583" t="s">
        <v>67</v>
      </c>
      <c r="W245" s="584" t="s">
        <v>67</v>
      </c>
      <c r="X245" s="585" t="s">
        <v>67</v>
      </c>
      <c r="Y245" s="535">
        <v>33</v>
      </c>
      <c r="Z245" s="582">
        <v>29</v>
      </c>
      <c r="AA245" s="582">
        <v>19</v>
      </c>
      <c r="AB245" s="582">
        <v>18</v>
      </c>
      <c r="AC245" s="583">
        <v>16</v>
      </c>
      <c r="AD245" s="584">
        <f>AB245/Z245</f>
        <v>0.62068965517241381</v>
      </c>
      <c r="AE245" s="585">
        <f>AB245/AA245</f>
        <v>0.94736842105263153</v>
      </c>
      <c r="AF245" s="535">
        <v>50</v>
      </c>
      <c r="AG245" s="582">
        <v>50</v>
      </c>
      <c r="AH245" s="582">
        <v>42</v>
      </c>
      <c r="AI245" s="582">
        <v>42</v>
      </c>
      <c r="AJ245" s="583">
        <v>27</v>
      </c>
      <c r="AK245" s="584">
        <f>AI245/AG245</f>
        <v>0.84</v>
      </c>
      <c r="AL245" s="585">
        <f>AI245/AH245</f>
        <v>1</v>
      </c>
      <c r="AM245" s="535">
        <v>148</v>
      </c>
      <c r="AN245" s="582">
        <v>145</v>
      </c>
      <c r="AO245" s="582">
        <v>99</v>
      </c>
      <c r="AP245" s="582">
        <v>85</v>
      </c>
      <c r="AQ245" s="583">
        <v>72</v>
      </c>
      <c r="AR245" s="584">
        <f>AP245/AN245</f>
        <v>0.58620689655172409</v>
      </c>
      <c r="AS245" s="585">
        <f>AP245/AO245</f>
        <v>0.85858585858585856</v>
      </c>
      <c r="AT245" s="535">
        <v>141</v>
      </c>
      <c r="AU245" s="582">
        <v>136</v>
      </c>
      <c r="AV245" s="582">
        <v>90</v>
      </c>
      <c r="AW245" s="582">
        <v>79</v>
      </c>
      <c r="AX245" s="583">
        <v>63</v>
      </c>
      <c r="AY245" s="584">
        <f>AW245/AU245</f>
        <v>0.58088235294117652</v>
      </c>
      <c r="AZ245" s="585">
        <f>AW245/AV245</f>
        <v>0.87777777777777777</v>
      </c>
      <c r="BA245" s="535">
        <v>108</v>
      </c>
      <c r="BB245" s="582">
        <v>106</v>
      </c>
      <c r="BC245" s="582">
        <v>65</v>
      </c>
      <c r="BD245" s="582">
        <v>51</v>
      </c>
      <c r="BE245" s="583">
        <v>45</v>
      </c>
      <c r="BF245" s="584">
        <f>BD245/BB245</f>
        <v>0.48113207547169812</v>
      </c>
      <c r="BG245" s="585">
        <f>BD245/BC245</f>
        <v>0.7846153846153846</v>
      </c>
      <c r="BH245" s="535">
        <v>164</v>
      </c>
      <c r="BI245" s="582">
        <v>163</v>
      </c>
      <c r="BJ245" s="582">
        <v>163</v>
      </c>
      <c r="BK245" s="582">
        <v>121</v>
      </c>
      <c r="BL245" s="583">
        <v>79</v>
      </c>
      <c r="BM245" s="584">
        <f>BK245/BI245</f>
        <v>0.74233128834355833</v>
      </c>
      <c r="BN245" s="585">
        <f>BK245/BJ245</f>
        <v>0.74233128834355833</v>
      </c>
      <c r="BO245" s="535">
        <v>157</v>
      </c>
      <c r="BP245" s="582">
        <v>157</v>
      </c>
      <c r="BQ245" s="582">
        <v>145</v>
      </c>
      <c r="BR245" s="582">
        <v>104</v>
      </c>
      <c r="BS245" s="583">
        <v>73</v>
      </c>
      <c r="BT245" s="584">
        <f>BR245/BP245</f>
        <v>0.66242038216560506</v>
      </c>
      <c r="BU245" s="585">
        <f>BR245/BQ245</f>
        <v>0.71724137931034482</v>
      </c>
      <c r="BV245" s="535">
        <v>165</v>
      </c>
      <c r="BW245" s="582">
        <v>165</v>
      </c>
      <c r="BX245" s="582">
        <v>165</v>
      </c>
      <c r="BY245" s="582">
        <v>165</v>
      </c>
      <c r="BZ245" s="583">
        <v>83</v>
      </c>
      <c r="CA245" s="584">
        <f>BY245/BW245</f>
        <v>1</v>
      </c>
      <c r="CB245" s="585">
        <f>BY245/BX245</f>
        <v>1</v>
      </c>
      <c r="CC245" s="558" t="s">
        <v>67</v>
      </c>
      <c r="CD245" s="559" t="s">
        <v>67</v>
      </c>
      <c r="CE245" s="559" t="s">
        <v>67</v>
      </c>
      <c r="CF245" s="559" t="s">
        <v>67</v>
      </c>
      <c r="CG245" s="560" t="s">
        <v>67</v>
      </c>
      <c r="CH245" s="584" t="s">
        <v>67</v>
      </c>
      <c r="CI245" s="585" t="s">
        <v>67</v>
      </c>
      <c r="CJ245" s="558" t="s">
        <v>67</v>
      </c>
      <c r="CK245" s="559" t="s">
        <v>67</v>
      </c>
      <c r="CL245" s="559" t="s">
        <v>67</v>
      </c>
      <c r="CM245" s="559" t="s">
        <v>67</v>
      </c>
      <c r="CN245" s="560" t="s">
        <v>67</v>
      </c>
      <c r="CO245" s="584" t="s">
        <v>67</v>
      </c>
      <c r="CP245" s="664" t="s">
        <v>67</v>
      </c>
      <c r="CQ245" s="584" t="s">
        <v>67</v>
      </c>
      <c r="CR245" s="585" t="s">
        <v>67</v>
      </c>
      <c r="CS245" s="558">
        <v>109</v>
      </c>
      <c r="CT245" s="559">
        <v>108</v>
      </c>
      <c r="CU245" s="559">
        <v>72</v>
      </c>
      <c r="CV245" s="559">
        <v>57</v>
      </c>
      <c r="CW245" s="560">
        <v>57</v>
      </c>
      <c r="CX245" s="584" t="s">
        <v>67</v>
      </c>
      <c r="CY245" s="664" t="s">
        <v>67</v>
      </c>
      <c r="CZ245" s="584">
        <v>0.52777777777777779</v>
      </c>
      <c r="DA245" s="585">
        <v>0.79166666666666663</v>
      </c>
      <c r="DB245" s="558">
        <v>127</v>
      </c>
      <c r="DC245" s="559">
        <v>126</v>
      </c>
      <c r="DD245" s="559">
        <v>94</v>
      </c>
      <c r="DE245" s="559">
        <v>94</v>
      </c>
      <c r="DF245" s="560">
        <v>76</v>
      </c>
      <c r="DG245" s="584" t="s">
        <v>67</v>
      </c>
      <c r="DH245" s="664" t="s">
        <v>67</v>
      </c>
      <c r="DI245" s="584">
        <v>0.74603174603174605</v>
      </c>
      <c r="DJ245" s="585">
        <v>1</v>
      </c>
      <c r="DK245" s="558">
        <v>107</v>
      </c>
      <c r="DL245" s="559">
        <v>107</v>
      </c>
      <c r="DM245" s="559">
        <v>102</v>
      </c>
      <c r="DN245" s="559">
        <v>71</v>
      </c>
      <c r="DO245" s="560">
        <v>61</v>
      </c>
      <c r="DP245" s="584" t="s">
        <v>67</v>
      </c>
      <c r="DQ245" s="664" t="s">
        <v>67</v>
      </c>
      <c r="DR245" s="584">
        <v>0.66355140186915884</v>
      </c>
      <c r="DS245" s="585">
        <v>0.69607843137254899</v>
      </c>
      <c r="DT245" s="558">
        <v>128</v>
      </c>
      <c r="DU245" s="559">
        <v>128</v>
      </c>
      <c r="DV245" s="559">
        <v>85</v>
      </c>
      <c r="DW245" s="559">
        <v>80</v>
      </c>
      <c r="DX245" s="560">
        <v>68</v>
      </c>
      <c r="DY245" s="584" t="s">
        <v>67</v>
      </c>
      <c r="DZ245" s="664" t="s">
        <v>67</v>
      </c>
      <c r="EA245" s="584">
        <v>0.625</v>
      </c>
      <c r="EB245" s="585">
        <v>0.94117647058823528</v>
      </c>
    </row>
    <row r="246" spans="1:132" x14ac:dyDescent="0.2">
      <c r="A246" s="580" t="s">
        <v>582</v>
      </c>
      <c r="B246" s="489" t="s">
        <v>540</v>
      </c>
      <c r="C246" s="581" t="s">
        <v>199</v>
      </c>
      <c r="D246" s="535" t="s">
        <v>67</v>
      </c>
      <c r="E246" s="582" t="s">
        <v>67</v>
      </c>
      <c r="F246" s="582" t="s">
        <v>67</v>
      </c>
      <c r="G246" s="582" t="s">
        <v>67</v>
      </c>
      <c r="H246" s="583" t="s">
        <v>67</v>
      </c>
      <c r="I246" s="584" t="s">
        <v>67</v>
      </c>
      <c r="J246" s="585" t="s">
        <v>67</v>
      </c>
      <c r="K246" s="535" t="s">
        <v>67</v>
      </c>
      <c r="L246" s="582" t="s">
        <v>67</v>
      </c>
      <c r="M246" s="582" t="s">
        <v>67</v>
      </c>
      <c r="N246" s="582" t="s">
        <v>67</v>
      </c>
      <c r="O246" s="583" t="s">
        <v>67</v>
      </c>
      <c r="P246" s="584" t="s">
        <v>67</v>
      </c>
      <c r="Q246" s="585" t="s">
        <v>67</v>
      </c>
      <c r="R246" s="535" t="s">
        <v>67</v>
      </c>
      <c r="S246" s="582" t="s">
        <v>67</v>
      </c>
      <c r="T246" s="582" t="s">
        <v>67</v>
      </c>
      <c r="U246" s="582" t="s">
        <v>67</v>
      </c>
      <c r="V246" s="583" t="s">
        <v>67</v>
      </c>
      <c r="W246" s="584" t="s">
        <v>67</v>
      </c>
      <c r="X246" s="585" t="s">
        <v>67</v>
      </c>
      <c r="Y246" s="535">
        <v>33</v>
      </c>
      <c r="Z246" s="582">
        <v>29</v>
      </c>
      <c r="AA246" s="582">
        <v>19</v>
      </c>
      <c r="AB246" s="582">
        <v>18</v>
      </c>
      <c r="AC246" s="583">
        <v>16</v>
      </c>
      <c r="AD246" s="584">
        <f>AB246/Z246</f>
        <v>0.62068965517241381</v>
      </c>
      <c r="AE246" s="585">
        <f>AB246/AA246</f>
        <v>0.94736842105263153</v>
      </c>
      <c r="AF246" s="535">
        <v>62</v>
      </c>
      <c r="AG246" s="582">
        <v>62</v>
      </c>
      <c r="AH246" s="582">
        <v>62</v>
      </c>
      <c r="AI246" s="582">
        <v>62</v>
      </c>
      <c r="AJ246" s="583">
        <v>39</v>
      </c>
      <c r="AK246" s="584">
        <f>AI246/AG246</f>
        <v>1</v>
      </c>
      <c r="AL246" s="585">
        <f>AI246/AH246</f>
        <v>1</v>
      </c>
      <c r="AM246" s="535">
        <v>307</v>
      </c>
      <c r="AN246" s="582">
        <v>302</v>
      </c>
      <c r="AO246" s="582">
        <v>302</v>
      </c>
      <c r="AP246" s="582">
        <v>302</v>
      </c>
      <c r="AQ246" s="583">
        <v>198</v>
      </c>
      <c r="AR246" s="584">
        <f>AP246/AN246</f>
        <v>1</v>
      </c>
      <c r="AS246" s="585">
        <f>AP246/AO246</f>
        <v>1</v>
      </c>
      <c r="AT246" s="535">
        <v>299</v>
      </c>
      <c r="AU246" s="582">
        <v>289</v>
      </c>
      <c r="AV246" s="582">
        <v>289</v>
      </c>
      <c r="AW246" s="582">
        <v>289</v>
      </c>
      <c r="AX246" s="583">
        <v>180</v>
      </c>
      <c r="AY246" s="584">
        <f>AW246/AU246</f>
        <v>1</v>
      </c>
      <c r="AZ246" s="585">
        <f>AW246/AV246</f>
        <v>1</v>
      </c>
      <c r="BA246" s="535">
        <v>354</v>
      </c>
      <c r="BB246" s="582">
        <v>336</v>
      </c>
      <c r="BC246" s="582">
        <v>336</v>
      </c>
      <c r="BD246" s="582">
        <v>335</v>
      </c>
      <c r="BE246" s="583">
        <v>198</v>
      </c>
      <c r="BF246" s="584">
        <f>BD246/BB246</f>
        <v>0.99702380952380953</v>
      </c>
      <c r="BG246" s="585">
        <f>BD246/BC246</f>
        <v>0.99702380952380953</v>
      </c>
      <c r="BH246" s="535">
        <v>339</v>
      </c>
      <c r="BI246" s="582">
        <v>323</v>
      </c>
      <c r="BJ246" s="582">
        <v>323</v>
      </c>
      <c r="BK246" s="582">
        <v>323</v>
      </c>
      <c r="BL246" s="583">
        <v>217</v>
      </c>
      <c r="BM246" s="584">
        <f>BK246/BI246</f>
        <v>1</v>
      </c>
      <c r="BN246" s="585">
        <f>BK246/BJ246</f>
        <v>1</v>
      </c>
      <c r="BO246" s="535">
        <v>429</v>
      </c>
      <c r="BP246" s="582">
        <v>397</v>
      </c>
      <c r="BQ246" s="582">
        <v>397</v>
      </c>
      <c r="BR246" s="582">
        <v>397</v>
      </c>
      <c r="BS246" s="583">
        <v>241</v>
      </c>
      <c r="BT246" s="584">
        <f>BR246/BP246</f>
        <v>1</v>
      </c>
      <c r="BU246" s="585">
        <f>BR246/BQ246</f>
        <v>1</v>
      </c>
      <c r="BV246" s="535">
        <v>466</v>
      </c>
      <c r="BW246" s="582">
        <v>440</v>
      </c>
      <c r="BX246" s="582">
        <v>440</v>
      </c>
      <c r="BY246" s="582">
        <v>440</v>
      </c>
      <c r="BZ246" s="583">
        <v>285</v>
      </c>
      <c r="CA246" s="584">
        <f>BY246/BW246</f>
        <v>1</v>
      </c>
      <c r="CB246" s="585">
        <f>BY246/BX246</f>
        <v>1</v>
      </c>
      <c r="CC246" s="535">
        <v>460</v>
      </c>
      <c r="CD246" s="582">
        <v>419</v>
      </c>
      <c r="CE246" s="582">
        <v>419</v>
      </c>
      <c r="CF246" s="582">
        <v>272</v>
      </c>
      <c r="CG246" s="583">
        <v>258</v>
      </c>
      <c r="CH246" s="584">
        <f>CF246/CD246</f>
        <v>0.64916467780429599</v>
      </c>
      <c r="CI246" s="585">
        <f>CF246/CE246</f>
        <v>0.64916467780429599</v>
      </c>
      <c r="CJ246" s="535">
        <v>379</v>
      </c>
      <c r="CK246" s="582">
        <v>342</v>
      </c>
      <c r="CL246" s="582">
        <v>342</v>
      </c>
      <c r="CM246" s="582">
        <v>241</v>
      </c>
      <c r="CN246" s="583">
        <v>228</v>
      </c>
      <c r="CO246" s="584">
        <f>CM246/CK246</f>
        <v>0.70467836257309946</v>
      </c>
      <c r="CP246" s="665">
        <f>CM246/CL246</f>
        <v>0.70467836257309946</v>
      </c>
      <c r="CQ246" s="584">
        <v>1</v>
      </c>
      <c r="CR246" s="585">
        <v>1</v>
      </c>
      <c r="CS246" s="535">
        <v>322</v>
      </c>
      <c r="CT246" s="582">
        <v>301</v>
      </c>
      <c r="CU246" s="582">
        <v>301</v>
      </c>
      <c r="CV246" s="582">
        <v>250</v>
      </c>
      <c r="CW246" s="583">
        <v>173</v>
      </c>
      <c r="CX246" s="584">
        <f>CV246/CT246</f>
        <v>0.83056478405315615</v>
      </c>
      <c r="CY246" s="665">
        <f>CV246/CU246</f>
        <v>0.83056478405315615</v>
      </c>
      <c r="CZ246" s="584">
        <v>1</v>
      </c>
      <c r="DA246" s="585">
        <v>1</v>
      </c>
      <c r="DB246" s="535">
        <v>389</v>
      </c>
      <c r="DC246" s="582">
        <v>354</v>
      </c>
      <c r="DD246" s="582">
        <v>354</v>
      </c>
      <c r="DE246" s="582">
        <v>257</v>
      </c>
      <c r="DF246" s="583">
        <v>232</v>
      </c>
      <c r="DG246" s="584">
        <f>DE246/DC246</f>
        <v>0.72598870056497178</v>
      </c>
      <c r="DH246" s="665">
        <f>DE246/DD246</f>
        <v>0.72598870056497178</v>
      </c>
      <c r="DI246" s="584">
        <v>1</v>
      </c>
      <c r="DJ246" s="585">
        <v>1</v>
      </c>
      <c r="DK246" s="535">
        <v>446</v>
      </c>
      <c r="DL246" s="582">
        <v>408</v>
      </c>
      <c r="DM246" s="582">
        <v>408</v>
      </c>
      <c r="DN246" s="582">
        <v>286</v>
      </c>
      <c r="DO246" s="583">
        <v>264</v>
      </c>
      <c r="DP246" s="584">
        <f>DN246/DL246</f>
        <v>0.7009803921568627</v>
      </c>
      <c r="DQ246" s="665">
        <f>DN246/DM246</f>
        <v>0.7009803921568627</v>
      </c>
      <c r="DR246" s="584">
        <v>1</v>
      </c>
      <c r="DS246" s="585">
        <v>1</v>
      </c>
      <c r="DT246" s="535">
        <v>411</v>
      </c>
      <c r="DU246" s="582">
        <v>389</v>
      </c>
      <c r="DV246" s="582">
        <v>389</v>
      </c>
      <c r="DW246" s="582">
        <v>249</v>
      </c>
      <c r="DX246" s="583">
        <v>236</v>
      </c>
      <c r="DY246" s="584">
        <f>DW246/DU246</f>
        <v>0.64010282776349614</v>
      </c>
      <c r="DZ246" s="665">
        <f>DW246/DV246</f>
        <v>0.64010282776349614</v>
      </c>
      <c r="EA246" s="584">
        <v>1</v>
      </c>
      <c r="EB246" s="585">
        <v>1</v>
      </c>
    </row>
    <row r="247" spans="1:132" x14ac:dyDescent="0.2">
      <c r="A247" s="580" t="s">
        <v>545</v>
      </c>
      <c r="B247" s="489" t="s">
        <v>546</v>
      </c>
      <c r="C247" s="581" t="s">
        <v>199</v>
      </c>
      <c r="D247" s="535" t="s">
        <v>67</v>
      </c>
      <c r="E247" s="582" t="s">
        <v>67</v>
      </c>
      <c r="F247" s="582" t="s">
        <v>67</v>
      </c>
      <c r="G247" s="582" t="s">
        <v>67</v>
      </c>
      <c r="H247" s="583" t="s">
        <v>67</v>
      </c>
      <c r="I247" s="584" t="s">
        <v>67</v>
      </c>
      <c r="J247" s="585" t="s">
        <v>67</v>
      </c>
      <c r="K247" s="535" t="s">
        <v>67</v>
      </c>
      <c r="L247" s="582" t="s">
        <v>67</v>
      </c>
      <c r="M247" s="582" t="s">
        <v>67</v>
      </c>
      <c r="N247" s="582" t="s">
        <v>67</v>
      </c>
      <c r="O247" s="583" t="s">
        <v>67</v>
      </c>
      <c r="P247" s="584" t="s">
        <v>67</v>
      </c>
      <c r="Q247" s="585" t="s">
        <v>67</v>
      </c>
      <c r="R247" s="535" t="s">
        <v>67</v>
      </c>
      <c r="S247" s="582" t="s">
        <v>67</v>
      </c>
      <c r="T247" s="582" t="s">
        <v>67</v>
      </c>
      <c r="U247" s="582" t="s">
        <v>67</v>
      </c>
      <c r="V247" s="583" t="s">
        <v>67</v>
      </c>
      <c r="W247" s="584" t="s">
        <v>67</v>
      </c>
      <c r="X247" s="585" t="s">
        <v>67</v>
      </c>
      <c r="Y247" s="535" t="s">
        <v>67</v>
      </c>
      <c r="Z247" s="582" t="s">
        <v>67</v>
      </c>
      <c r="AA247" s="582" t="s">
        <v>67</v>
      </c>
      <c r="AB247" s="582" t="s">
        <v>67</v>
      </c>
      <c r="AC247" s="583" t="s">
        <v>67</v>
      </c>
      <c r="AD247" s="584" t="s">
        <v>67</v>
      </c>
      <c r="AE247" s="585" t="s">
        <v>67</v>
      </c>
      <c r="AF247" s="535" t="s">
        <v>67</v>
      </c>
      <c r="AG247" s="582" t="s">
        <v>67</v>
      </c>
      <c r="AH247" s="582" t="s">
        <v>67</v>
      </c>
      <c r="AI247" s="582" t="s">
        <v>67</v>
      </c>
      <c r="AJ247" s="583" t="s">
        <v>67</v>
      </c>
      <c r="AK247" s="584" t="s">
        <v>67</v>
      </c>
      <c r="AL247" s="585" t="s">
        <v>67</v>
      </c>
      <c r="AM247" s="535">
        <v>40</v>
      </c>
      <c r="AN247" s="582">
        <v>39</v>
      </c>
      <c r="AO247" s="582">
        <v>39</v>
      </c>
      <c r="AP247" s="582">
        <v>39</v>
      </c>
      <c r="AQ247" s="583">
        <v>39</v>
      </c>
      <c r="AR247" s="584">
        <f>AP247/AN247</f>
        <v>1</v>
      </c>
      <c r="AS247" s="585">
        <f>AP247/AO247</f>
        <v>1</v>
      </c>
      <c r="AT247" s="535">
        <v>78</v>
      </c>
      <c r="AU247" s="582">
        <v>72</v>
      </c>
      <c r="AV247" s="582">
        <v>41</v>
      </c>
      <c r="AW247" s="582">
        <v>40</v>
      </c>
      <c r="AX247" s="583">
        <v>30</v>
      </c>
      <c r="AY247" s="584">
        <f t="shared" ref="AY247:AY248" si="468">AW247/AU247</f>
        <v>0.55555555555555558</v>
      </c>
      <c r="AZ247" s="585">
        <f t="shared" ref="AZ247:AZ248" si="469">AW247/AV247</f>
        <v>0.97560975609756095</v>
      </c>
      <c r="BA247" s="535">
        <v>59</v>
      </c>
      <c r="BB247" s="582">
        <v>56</v>
      </c>
      <c r="BC247" s="582">
        <v>46</v>
      </c>
      <c r="BD247" s="582">
        <v>35</v>
      </c>
      <c r="BE247" s="583">
        <v>29</v>
      </c>
      <c r="BF247" s="584">
        <f t="shared" ref="BF247:BF248" si="470">BD247/BB247</f>
        <v>0.625</v>
      </c>
      <c r="BG247" s="585">
        <f t="shared" ref="BG247:BG248" si="471">BD247/BC247</f>
        <v>0.76086956521739135</v>
      </c>
      <c r="BH247" s="535">
        <v>82</v>
      </c>
      <c r="BI247" s="582">
        <v>81</v>
      </c>
      <c r="BJ247" s="582">
        <v>75</v>
      </c>
      <c r="BK247" s="582">
        <v>57</v>
      </c>
      <c r="BL247" s="583">
        <v>57</v>
      </c>
      <c r="BM247" s="584">
        <f t="shared" ref="BM247:BM251" si="472">BK247/BI247</f>
        <v>0.70370370370370372</v>
      </c>
      <c r="BN247" s="585">
        <f t="shared" ref="BN247:BN251" si="473">BK247/BJ247</f>
        <v>0.76</v>
      </c>
      <c r="BO247" s="535">
        <v>55</v>
      </c>
      <c r="BP247" s="582">
        <v>54</v>
      </c>
      <c r="BQ247" s="582">
        <v>33</v>
      </c>
      <c r="BR247" s="582">
        <v>32</v>
      </c>
      <c r="BS247" s="583">
        <v>32</v>
      </c>
      <c r="BT247" s="584">
        <f t="shared" ref="BT247:BT251" si="474">BR247/BP247</f>
        <v>0.59259259259259256</v>
      </c>
      <c r="BU247" s="585">
        <f t="shared" ref="BU247:BU251" si="475">BR247/BQ247</f>
        <v>0.96969696969696972</v>
      </c>
      <c r="BV247" s="535">
        <v>75</v>
      </c>
      <c r="BW247" s="582">
        <v>71</v>
      </c>
      <c r="BX247" s="582">
        <v>35</v>
      </c>
      <c r="BY247" s="582">
        <v>35</v>
      </c>
      <c r="BZ247" s="583">
        <v>35</v>
      </c>
      <c r="CA247" s="584">
        <f t="shared" ref="CA247:CA251" si="476">BY247/BW247</f>
        <v>0.49295774647887325</v>
      </c>
      <c r="CB247" s="585">
        <f t="shared" ref="CB247:CB251" si="477">BY247/BX247</f>
        <v>1</v>
      </c>
      <c r="CC247" s="535">
        <v>59</v>
      </c>
      <c r="CD247" s="582">
        <v>56</v>
      </c>
      <c r="CE247" s="582">
        <v>28</v>
      </c>
      <c r="CF247" s="582">
        <v>28</v>
      </c>
      <c r="CG247" s="583">
        <v>28</v>
      </c>
      <c r="CH247" s="584">
        <f t="shared" ref="CH247:CH251" si="478">CF247/CD247</f>
        <v>0.5</v>
      </c>
      <c r="CI247" s="585">
        <f t="shared" ref="CI247:CI251" si="479">CF247/CE247</f>
        <v>1</v>
      </c>
      <c r="CJ247" s="535">
        <v>93</v>
      </c>
      <c r="CK247" s="582">
        <v>88</v>
      </c>
      <c r="CL247" s="582">
        <v>53</v>
      </c>
      <c r="CM247" s="582">
        <v>53</v>
      </c>
      <c r="CN247" s="583">
        <v>50</v>
      </c>
      <c r="CO247" s="584">
        <f t="shared" ref="CO247:CO251" si="480">CM247/CK247</f>
        <v>0.60227272727272729</v>
      </c>
      <c r="CP247" s="665">
        <f t="shared" ref="CP247:CP251" si="481">CM247/CL247</f>
        <v>1</v>
      </c>
      <c r="CQ247" s="584">
        <v>0.60227272727272729</v>
      </c>
      <c r="CR247" s="585">
        <v>1</v>
      </c>
      <c r="CS247" s="535">
        <v>22</v>
      </c>
      <c r="CT247" s="582">
        <v>21</v>
      </c>
      <c r="CU247" s="582">
        <v>13</v>
      </c>
      <c r="CV247" s="582">
        <v>13</v>
      </c>
      <c r="CW247" s="583">
        <v>13</v>
      </c>
      <c r="CX247" s="584">
        <f t="shared" ref="CX247:CX251" si="482">CV247/CT247</f>
        <v>0.61904761904761907</v>
      </c>
      <c r="CY247" s="665">
        <f t="shared" ref="CY247:CY251" si="483">CV247/CU247</f>
        <v>1</v>
      </c>
      <c r="CZ247" s="584">
        <v>0.61904761904761907</v>
      </c>
      <c r="DA247" s="585">
        <v>1</v>
      </c>
      <c r="DB247" s="535">
        <v>73</v>
      </c>
      <c r="DC247" s="582">
        <v>63</v>
      </c>
      <c r="DD247" s="582">
        <v>47</v>
      </c>
      <c r="DE247" s="582">
        <v>43</v>
      </c>
      <c r="DF247" s="583">
        <v>37</v>
      </c>
      <c r="DG247" s="584">
        <f t="shared" ref="DG247:DG251" si="484">DE247/DC247</f>
        <v>0.68253968253968256</v>
      </c>
      <c r="DH247" s="665">
        <f t="shared" ref="DH247:DH251" si="485">DE247/DD247</f>
        <v>0.91489361702127658</v>
      </c>
      <c r="DI247" s="584">
        <v>0.68253968253968256</v>
      </c>
      <c r="DJ247" s="585">
        <v>0.91489361702127658</v>
      </c>
      <c r="DK247" s="535">
        <v>83</v>
      </c>
      <c r="DL247" s="582">
        <v>72</v>
      </c>
      <c r="DM247" s="582">
        <v>52</v>
      </c>
      <c r="DN247" s="582">
        <v>51</v>
      </c>
      <c r="DO247" s="583">
        <v>40</v>
      </c>
      <c r="DP247" s="584">
        <f t="shared" ref="DP247:DP251" si="486">DN247/DL247</f>
        <v>0.70833333333333337</v>
      </c>
      <c r="DQ247" s="665">
        <f t="shared" ref="DQ247:DQ251" si="487">DN247/DM247</f>
        <v>0.98076923076923073</v>
      </c>
      <c r="DR247" s="584">
        <v>0.70833333333333337</v>
      </c>
      <c r="DS247" s="585">
        <v>0.98076923076923073</v>
      </c>
      <c r="DT247" s="535">
        <v>48</v>
      </c>
      <c r="DU247" s="582">
        <v>46</v>
      </c>
      <c r="DV247" s="582">
        <v>31</v>
      </c>
      <c r="DW247" s="582">
        <v>31</v>
      </c>
      <c r="DX247" s="583">
        <v>26</v>
      </c>
      <c r="DY247" s="584">
        <f t="shared" ref="DY247:DY251" si="488">DW247/DU247</f>
        <v>0.67391304347826086</v>
      </c>
      <c r="DZ247" s="665">
        <f t="shared" ref="DZ247:DZ251" si="489">DW247/DV247</f>
        <v>1</v>
      </c>
      <c r="EA247" s="584">
        <v>0.67391304347826086</v>
      </c>
      <c r="EB247" s="585">
        <v>1</v>
      </c>
    </row>
    <row r="248" spans="1:132" x14ac:dyDescent="0.2">
      <c r="A248" s="580" t="s">
        <v>609</v>
      </c>
      <c r="B248" s="489" t="s">
        <v>547</v>
      </c>
      <c r="C248" s="581" t="s">
        <v>199</v>
      </c>
      <c r="D248" s="535" t="s">
        <v>67</v>
      </c>
      <c r="E248" s="582" t="s">
        <v>67</v>
      </c>
      <c r="F248" s="582" t="s">
        <v>67</v>
      </c>
      <c r="G248" s="582" t="s">
        <v>67</v>
      </c>
      <c r="H248" s="583" t="s">
        <v>67</v>
      </c>
      <c r="I248" s="584" t="s">
        <v>67</v>
      </c>
      <c r="J248" s="585" t="s">
        <v>67</v>
      </c>
      <c r="K248" s="535" t="s">
        <v>67</v>
      </c>
      <c r="L248" s="582" t="s">
        <v>67</v>
      </c>
      <c r="M248" s="582" t="s">
        <v>67</v>
      </c>
      <c r="N248" s="582" t="s">
        <v>67</v>
      </c>
      <c r="O248" s="583" t="s">
        <v>67</v>
      </c>
      <c r="P248" s="584" t="s">
        <v>67</v>
      </c>
      <c r="Q248" s="585" t="s">
        <v>67</v>
      </c>
      <c r="R248" s="535" t="s">
        <v>67</v>
      </c>
      <c r="S248" s="582" t="s">
        <v>67</v>
      </c>
      <c r="T248" s="582" t="s">
        <v>67</v>
      </c>
      <c r="U248" s="582" t="s">
        <v>67</v>
      </c>
      <c r="V248" s="583" t="s">
        <v>67</v>
      </c>
      <c r="W248" s="584" t="s">
        <v>67</v>
      </c>
      <c r="X248" s="585" t="s">
        <v>67</v>
      </c>
      <c r="Y248" s="535" t="s">
        <v>67</v>
      </c>
      <c r="Z248" s="582" t="s">
        <v>67</v>
      </c>
      <c r="AA248" s="582" t="s">
        <v>67</v>
      </c>
      <c r="AB248" s="582" t="s">
        <v>67</v>
      </c>
      <c r="AC248" s="583" t="s">
        <v>67</v>
      </c>
      <c r="AD248" s="584" t="s">
        <v>67</v>
      </c>
      <c r="AE248" s="585" t="s">
        <v>67</v>
      </c>
      <c r="AF248" s="535" t="s">
        <v>67</v>
      </c>
      <c r="AG248" s="582" t="s">
        <v>67</v>
      </c>
      <c r="AH248" s="582" t="s">
        <v>67</v>
      </c>
      <c r="AI248" s="582" t="s">
        <v>67</v>
      </c>
      <c r="AJ248" s="583" t="s">
        <v>67</v>
      </c>
      <c r="AK248" s="584" t="s">
        <v>67</v>
      </c>
      <c r="AL248" s="585" t="s">
        <v>67</v>
      </c>
      <c r="AM248" s="535" t="s">
        <v>67</v>
      </c>
      <c r="AN248" s="582" t="s">
        <v>67</v>
      </c>
      <c r="AO248" s="582" t="s">
        <v>67</v>
      </c>
      <c r="AP248" s="582" t="s">
        <v>67</v>
      </c>
      <c r="AQ248" s="583" t="s">
        <v>67</v>
      </c>
      <c r="AR248" s="584" t="s">
        <v>67</v>
      </c>
      <c r="AS248" s="585" t="s">
        <v>67</v>
      </c>
      <c r="AT248" s="535">
        <v>1958</v>
      </c>
      <c r="AU248" s="582">
        <v>1942</v>
      </c>
      <c r="AV248" s="582">
        <v>1942</v>
      </c>
      <c r="AW248" s="582">
        <v>1890</v>
      </c>
      <c r="AX248" s="583">
        <v>1273</v>
      </c>
      <c r="AY248" s="584">
        <f t="shared" si="468"/>
        <v>0.97322348094747679</v>
      </c>
      <c r="AZ248" s="585">
        <f t="shared" si="469"/>
        <v>0.97322348094747679</v>
      </c>
      <c r="BA248" s="535">
        <v>486</v>
      </c>
      <c r="BB248" s="582">
        <v>482</v>
      </c>
      <c r="BC248" s="582">
        <v>461</v>
      </c>
      <c r="BD248" s="582">
        <v>331</v>
      </c>
      <c r="BE248" s="583">
        <v>280</v>
      </c>
      <c r="BF248" s="584">
        <f t="shared" si="470"/>
        <v>0.68672199170124482</v>
      </c>
      <c r="BG248" s="585">
        <f t="shared" si="471"/>
        <v>0.71800433839479394</v>
      </c>
      <c r="BH248" s="535">
        <v>478</v>
      </c>
      <c r="BI248" s="582">
        <v>463</v>
      </c>
      <c r="BJ248" s="582">
        <v>463</v>
      </c>
      <c r="BK248" s="582">
        <v>459</v>
      </c>
      <c r="BL248" s="583">
        <v>368</v>
      </c>
      <c r="BM248" s="584">
        <f t="shared" si="472"/>
        <v>0.99136069114470837</v>
      </c>
      <c r="BN248" s="585">
        <f t="shared" si="473"/>
        <v>0.99136069114470837</v>
      </c>
      <c r="BO248" s="535">
        <v>447</v>
      </c>
      <c r="BP248" s="582">
        <v>440</v>
      </c>
      <c r="BQ248" s="582">
        <v>440</v>
      </c>
      <c r="BR248" s="582">
        <v>437</v>
      </c>
      <c r="BS248" s="583">
        <v>377</v>
      </c>
      <c r="BT248" s="584">
        <f t="shared" si="474"/>
        <v>0.99318181818181817</v>
      </c>
      <c r="BU248" s="585">
        <f t="shared" si="475"/>
        <v>0.99318181818181817</v>
      </c>
      <c r="BV248" s="535">
        <v>429</v>
      </c>
      <c r="BW248" s="582">
        <v>417</v>
      </c>
      <c r="BX248" s="582">
        <v>417</v>
      </c>
      <c r="BY248" s="582">
        <v>416</v>
      </c>
      <c r="BZ248" s="583">
        <v>317</v>
      </c>
      <c r="CA248" s="584">
        <f t="shared" si="476"/>
        <v>0.99760191846522783</v>
      </c>
      <c r="CB248" s="585">
        <f t="shared" si="477"/>
        <v>0.99760191846522783</v>
      </c>
      <c r="CC248" s="535">
        <v>447</v>
      </c>
      <c r="CD248" s="582">
        <v>438</v>
      </c>
      <c r="CE248" s="582">
        <v>438</v>
      </c>
      <c r="CF248" s="582">
        <v>395</v>
      </c>
      <c r="CG248" s="583">
        <v>316</v>
      </c>
      <c r="CH248" s="584">
        <f t="shared" si="478"/>
        <v>0.90182648401826482</v>
      </c>
      <c r="CI248" s="585">
        <f t="shared" si="479"/>
        <v>0.90182648401826482</v>
      </c>
      <c r="CJ248" s="535">
        <v>584</v>
      </c>
      <c r="CK248" s="582">
        <v>542</v>
      </c>
      <c r="CL248" s="582">
        <v>542</v>
      </c>
      <c r="CM248" s="582">
        <v>496</v>
      </c>
      <c r="CN248" s="583">
        <v>363</v>
      </c>
      <c r="CO248" s="584">
        <f t="shared" si="480"/>
        <v>0.91512915129151295</v>
      </c>
      <c r="CP248" s="665">
        <f t="shared" si="481"/>
        <v>0.91512915129151295</v>
      </c>
      <c r="CQ248" s="584">
        <v>1</v>
      </c>
      <c r="CR248" s="585">
        <v>1</v>
      </c>
      <c r="CS248" s="535">
        <v>1235</v>
      </c>
      <c r="CT248" s="582">
        <v>1205</v>
      </c>
      <c r="CU248" s="582">
        <v>1205</v>
      </c>
      <c r="CV248" s="582">
        <v>1205</v>
      </c>
      <c r="CW248" s="583">
        <v>1102</v>
      </c>
      <c r="CX248" s="584">
        <f t="shared" si="482"/>
        <v>1</v>
      </c>
      <c r="CY248" s="665">
        <f t="shared" si="483"/>
        <v>1</v>
      </c>
      <c r="CZ248" s="584">
        <v>1</v>
      </c>
      <c r="DA248" s="585">
        <v>1</v>
      </c>
      <c r="DB248" s="535">
        <v>589</v>
      </c>
      <c r="DC248" s="582">
        <v>576</v>
      </c>
      <c r="DD248" s="582">
        <v>576</v>
      </c>
      <c r="DE248" s="582">
        <v>576</v>
      </c>
      <c r="DF248" s="583">
        <v>496</v>
      </c>
      <c r="DG248" s="584">
        <f t="shared" si="484"/>
        <v>1</v>
      </c>
      <c r="DH248" s="665">
        <f t="shared" si="485"/>
        <v>1</v>
      </c>
      <c r="DI248" s="584">
        <v>1</v>
      </c>
      <c r="DJ248" s="585">
        <v>1</v>
      </c>
      <c r="DK248" s="535">
        <v>684</v>
      </c>
      <c r="DL248" s="582">
        <v>673</v>
      </c>
      <c r="DM248" s="582">
        <v>673</v>
      </c>
      <c r="DN248" s="582">
        <v>673</v>
      </c>
      <c r="DO248" s="583">
        <v>611</v>
      </c>
      <c r="DP248" s="584">
        <f t="shared" si="486"/>
        <v>1</v>
      </c>
      <c r="DQ248" s="665">
        <f t="shared" si="487"/>
        <v>1</v>
      </c>
      <c r="DR248" s="584">
        <v>1</v>
      </c>
      <c r="DS248" s="585">
        <v>1</v>
      </c>
      <c r="DT248" s="535">
        <v>827</v>
      </c>
      <c r="DU248" s="582">
        <v>802</v>
      </c>
      <c r="DV248" s="582">
        <v>802</v>
      </c>
      <c r="DW248" s="582">
        <v>799</v>
      </c>
      <c r="DX248" s="583">
        <v>745</v>
      </c>
      <c r="DY248" s="584">
        <f t="shared" si="488"/>
        <v>0.99625935162094759</v>
      </c>
      <c r="DZ248" s="665">
        <f t="shared" si="489"/>
        <v>0.99625935162094759</v>
      </c>
      <c r="EA248" s="584">
        <v>0.99750623441396513</v>
      </c>
      <c r="EB248" s="585">
        <v>0.99750623441396513</v>
      </c>
    </row>
    <row r="249" spans="1:132" x14ac:dyDescent="0.2">
      <c r="A249" s="580" t="s">
        <v>583</v>
      </c>
      <c r="B249" s="489" t="s">
        <v>558</v>
      </c>
      <c r="C249" s="581" t="s">
        <v>199</v>
      </c>
      <c r="D249" s="535" t="s">
        <v>67</v>
      </c>
      <c r="E249" s="582" t="s">
        <v>67</v>
      </c>
      <c r="F249" s="582" t="s">
        <v>67</v>
      </c>
      <c r="G249" s="582" t="s">
        <v>67</v>
      </c>
      <c r="H249" s="583" t="s">
        <v>67</v>
      </c>
      <c r="I249" s="584" t="s">
        <v>67</v>
      </c>
      <c r="J249" s="585" t="s">
        <v>67</v>
      </c>
      <c r="K249" s="535" t="s">
        <v>67</v>
      </c>
      <c r="L249" s="582" t="s">
        <v>67</v>
      </c>
      <c r="M249" s="582" t="s">
        <v>67</v>
      </c>
      <c r="N249" s="582" t="s">
        <v>67</v>
      </c>
      <c r="O249" s="583" t="s">
        <v>67</v>
      </c>
      <c r="P249" s="584" t="s">
        <v>67</v>
      </c>
      <c r="Q249" s="585" t="s">
        <v>67</v>
      </c>
      <c r="R249" s="535" t="s">
        <v>67</v>
      </c>
      <c r="S249" s="582" t="s">
        <v>67</v>
      </c>
      <c r="T249" s="582" t="s">
        <v>67</v>
      </c>
      <c r="U249" s="582" t="s">
        <v>67</v>
      </c>
      <c r="V249" s="583" t="s">
        <v>67</v>
      </c>
      <c r="W249" s="584" t="s">
        <v>67</v>
      </c>
      <c r="X249" s="585" t="s">
        <v>67</v>
      </c>
      <c r="Y249" s="535" t="s">
        <v>67</v>
      </c>
      <c r="Z249" s="582" t="s">
        <v>67</v>
      </c>
      <c r="AA249" s="582" t="s">
        <v>67</v>
      </c>
      <c r="AB249" s="582" t="s">
        <v>67</v>
      </c>
      <c r="AC249" s="583" t="s">
        <v>67</v>
      </c>
      <c r="AD249" s="584" t="s">
        <v>67</v>
      </c>
      <c r="AE249" s="585" t="s">
        <v>67</v>
      </c>
      <c r="AF249" s="535" t="s">
        <v>67</v>
      </c>
      <c r="AG249" s="582" t="s">
        <v>67</v>
      </c>
      <c r="AH249" s="582" t="s">
        <v>67</v>
      </c>
      <c r="AI249" s="582" t="s">
        <v>67</v>
      </c>
      <c r="AJ249" s="583" t="s">
        <v>67</v>
      </c>
      <c r="AK249" s="584" t="s">
        <v>67</v>
      </c>
      <c r="AL249" s="585" t="s">
        <v>67</v>
      </c>
      <c r="AM249" s="535" t="s">
        <v>67</v>
      </c>
      <c r="AN249" s="582" t="s">
        <v>67</v>
      </c>
      <c r="AO249" s="582" t="s">
        <v>67</v>
      </c>
      <c r="AP249" s="582" t="s">
        <v>67</v>
      </c>
      <c r="AQ249" s="583" t="s">
        <v>67</v>
      </c>
      <c r="AR249" s="584" t="s">
        <v>67</v>
      </c>
      <c r="AS249" s="585" t="s">
        <v>67</v>
      </c>
      <c r="AT249" s="535" t="s">
        <v>67</v>
      </c>
      <c r="AU249" s="582" t="s">
        <v>67</v>
      </c>
      <c r="AV249" s="582" t="s">
        <v>67</v>
      </c>
      <c r="AW249" s="582" t="s">
        <v>67</v>
      </c>
      <c r="AX249" s="583" t="s">
        <v>67</v>
      </c>
      <c r="AY249" s="584" t="s">
        <v>67</v>
      </c>
      <c r="AZ249" s="585" t="s">
        <v>67</v>
      </c>
      <c r="BA249" s="535">
        <v>82</v>
      </c>
      <c r="BB249" s="582">
        <v>82</v>
      </c>
      <c r="BC249" s="582">
        <v>61</v>
      </c>
      <c r="BD249" s="582">
        <v>61</v>
      </c>
      <c r="BE249" s="583">
        <v>46</v>
      </c>
      <c r="BF249" s="584">
        <f t="shared" ref="BF249:BF250" si="490">BD249/BB249</f>
        <v>0.74390243902439024</v>
      </c>
      <c r="BG249" s="585">
        <f t="shared" ref="BG249:BG250" si="491">BD249/BC249</f>
        <v>1</v>
      </c>
      <c r="BH249" s="535">
        <v>327</v>
      </c>
      <c r="BI249" s="582">
        <v>326</v>
      </c>
      <c r="BJ249" s="582">
        <v>207</v>
      </c>
      <c r="BK249" s="582">
        <v>204</v>
      </c>
      <c r="BL249" s="583">
        <v>149</v>
      </c>
      <c r="BM249" s="584">
        <f t="shared" si="472"/>
        <v>0.62576687116564422</v>
      </c>
      <c r="BN249" s="585">
        <f t="shared" si="473"/>
        <v>0.98550724637681164</v>
      </c>
      <c r="BO249" s="535">
        <v>312</v>
      </c>
      <c r="BP249" s="582">
        <v>310</v>
      </c>
      <c r="BQ249" s="582">
        <v>231</v>
      </c>
      <c r="BR249" s="582">
        <v>218</v>
      </c>
      <c r="BS249" s="583">
        <v>171</v>
      </c>
      <c r="BT249" s="584">
        <f t="shared" si="474"/>
        <v>0.70322580645161292</v>
      </c>
      <c r="BU249" s="585">
        <f t="shared" si="475"/>
        <v>0.94372294372294374</v>
      </c>
      <c r="BV249" s="535">
        <v>224</v>
      </c>
      <c r="BW249" s="582">
        <v>215</v>
      </c>
      <c r="BX249" s="582">
        <v>215</v>
      </c>
      <c r="BY249" s="582">
        <v>168</v>
      </c>
      <c r="BZ249" s="583">
        <v>126</v>
      </c>
      <c r="CA249" s="584">
        <f t="shared" si="476"/>
        <v>0.78139534883720929</v>
      </c>
      <c r="CB249" s="585">
        <f t="shared" si="477"/>
        <v>0.78139534883720929</v>
      </c>
      <c r="CC249" s="535">
        <v>211</v>
      </c>
      <c r="CD249" s="582">
        <v>200</v>
      </c>
      <c r="CE249" s="582">
        <v>200</v>
      </c>
      <c r="CF249" s="582">
        <v>139</v>
      </c>
      <c r="CG249" s="583">
        <v>137</v>
      </c>
      <c r="CH249" s="584">
        <f t="shared" si="478"/>
        <v>0.69499999999999995</v>
      </c>
      <c r="CI249" s="585">
        <f t="shared" si="479"/>
        <v>0.69499999999999995</v>
      </c>
      <c r="CJ249" s="535">
        <v>269</v>
      </c>
      <c r="CK249" s="582">
        <v>249</v>
      </c>
      <c r="CL249" s="582">
        <v>208</v>
      </c>
      <c r="CM249" s="582">
        <v>147</v>
      </c>
      <c r="CN249" s="583">
        <v>144</v>
      </c>
      <c r="CO249" s="584">
        <f t="shared" si="480"/>
        <v>0.59036144578313254</v>
      </c>
      <c r="CP249" s="665">
        <f t="shared" si="481"/>
        <v>0.70673076923076927</v>
      </c>
      <c r="CQ249" s="584">
        <v>0.68674698795180722</v>
      </c>
      <c r="CR249" s="585">
        <v>0.82211538461538458</v>
      </c>
      <c r="CS249" s="535">
        <v>214</v>
      </c>
      <c r="CT249" s="582">
        <v>201</v>
      </c>
      <c r="CU249" s="582">
        <v>168</v>
      </c>
      <c r="CV249" s="582">
        <v>125</v>
      </c>
      <c r="CW249" s="583">
        <v>123</v>
      </c>
      <c r="CX249" s="584">
        <f t="shared" si="482"/>
        <v>0.62189054726368154</v>
      </c>
      <c r="CY249" s="665">
        <f t="shared" si="483"/>
        <v>0.74404761904761907</v>
      </c>
      <c r="CZ249" s="584">
        <v>0.73631840796019898</v>
      </c>
      <c r="DA249" s="585">
        <v>0.88095238095238093</v>
      </c>
      <c r="DB249" s="535">
        <v>190</v>
      </c>
      <c r="DC249" s="582">
        <v>183</v>
      </c>
      <c r="DD249" s="582">
        <v>160</v>
      </c>
      <c r="DE249" s="582">
        <v>115</v>
      </c>
      <c r="DF249" s="583">
        <v>112</v>
      </c>
      <c r="DG249" s="584">
        <f t="shared" si="484"/>
        <v>0.62841530054644812</v>
      </c>
      <c r="DH249" s="665">
        <f t="shared" si="485"/>
        <v>0.71875</v>
      </c>
      <c r="DI249" s="584">
        <v>0.81967213114754101</v>
      </c>
      <c r="DJ249" s="585">
        <v>0.9375</v>
      </c>
      <c r="DK249" s="535">
        <v>186</v>
      </c>
      <c r="DL249" s="582">
        <v>179</v>
      </c>
      <c r="DM249" s="582">
        <v>172</v>
      </c>
      <c r="DN249" s="582">
        <v>132</v>
      </c>
      <c r="DO249" s="583">
        <v>130</v>
      </c>
      <c r="DP249" s="584">
        <f t="shared" si="486"/>
        <v>0.73743016759776536</v>
      </c>
      <c r="DQ249" s="665">
        <f t="shared" si="487"/>
        <v>0.76744186046511631</v>
      </c>
      <c r="DR249" s="584">
        <v>0.88268156424581001</v>
      </c>
      <c r="DS249" s="585">
        <v>0.91860465116279066</v>
      </c>
      <c r="DT249" s="535">
        <v>182</v>
      </c>
      <c r="DU249" s="582">
        <v>174</v>
      </c>
      <c r="DV249" s="582">
        <v>174</v>
      </c>
      <c r="DW249" s="582">
        <v>126</v>
      </c>
      <c r="DX249" s="583">
        <v>124</v>
      </c>
      <c r="DY249" s="584">
        <f t="shared" si="488"/>
        <v>0.72413793103448276</v>
      </c>
      <c r="DZ249" s="665">
        <f t="shared" si="489"/>
        <v>0.72413793103448276</v>
      </c>
      <c r="EA249" s="584">
        <v>0.90804597701149425</v>
      </c>
      <c r="EB249" s="585">
        <v>0.90804597701149425</v>
      </c>
    </row>
    <row r="250" spans="1:132" x14ac:dyDescent="0.2">
      <c r="A250" s="580" t="s">
        <v>557</v>
      </c>
      <c r="B250" s="489" t="s">
        <v>559</v>
      </c>
      <c r="C250" s="581" t="s">
        <v>199</v>
      </c>
      <c r="D250" s="535" t="s">
        <v>67</v>
      </c>
      <c r="E250" s="582" t="s">
        <v>67</v>
      </c>
      <c r="F250" s="582" t="s">
        <v>67</v>
      </c>
      <c r="G250" s="582" t="s">
        <v>67</v>
      </c>
      <c r="H250" s="583" t="s">
        <v>67</v>
      </c>
      <c r="I250" s="584" t="s">
        <v>67</v>
      </c>
      <c r="J250" s="585" t="s">
        <v>67</v>
      </c>
      <c r="K250" s="535" t="s">
        <v>67</v>
      </c>
      <c r="L250" s="582" t="s">
        <v>67</v>
      </c>
      <c r="M250" s="582" t="s">
        <v>67</v>
      </c>
      <c r="N250" s="582" t="s">
        <v>67</v>
      </c>
      <c r="O250" s="583" t="s">
        <v>67</v>
      </c>
      <c r="P250" s="584" t="s">
        <v>67</v>
      </c>
      <c r="Q250" s="585" t="s">
        <v>67</v>
      </c>
      <c r="R250" s="535" t="s">
        <v>67</v>
      </c>
      <c r="S250" s="582" t="s">
        <v>67</v>
      </c>
      <c r="T250" s="582" t="s">
        <v>67</v>
      </c>
      <c r="U250" s="582" t="s">
        <v>67</v>
      </c>
      <c r="V250" s="583" t="s">
        <v>67</v>
      </c>
      <c r="W250" s="584" t="s">
        <v>67</v>
      </c>
      <c r="X250" s="585" t="s">
        <v>67</v>
      </c>
      <c r="Y250" s="535" t="s">
        <v>67</v>
      </c>
      <c r="Z250" s="582" t="s">
        <v>67</v>
      </c>
      <c r="AA250" s="582" t="s">
        <v>67</v>
      </c>
      <c r="AB250" s="582" t="s">
        <v>67</v>
      </c>
      <c r="AC250" s="583" t="s">
        <v>67</v>
      </c>
      <c r="AD250" s="584" t="s">
        <v>67</v>
      </c>
      <c r="AE250" s="585" t="s">
        <v>67</v>
      </c>
      <c r="AF250" s="535" t="s">
        <v>67</v>
      </c>
      <c r="AG250" s="582" t="s">
        <v>67</v>
      </c>
      <c r="AH250" s="582" t="s">
        <v>67</v>
      </c>
      <c r="AI250" s="582" t="s">
        <v>67</v>
      </c>
      <c r="AJ250" s="583" t="s">
        <v>67</v>
      </c>
      <c r="AK250" s="584" t="s">
        <v>67</v>
      </c>
      <c r="AL250" s="585" t="s">
        <v>67</v>
      </c>
      <c r="AM250" s="535" t="s">
        <v>67</v>
      </c>
      <c r="AN250" s="582" t="s">
        <v>67</v>
      </c>
      <c r="AO250" s="582" t="s">
        <v>67</v>
      </c>
      <c r="AP250" s="582" t="s">
        <v>67</v>
      </c>
      <c r="AQ250" s="583" t="s">
        <v>67</v>
      </c>
      <c r="AR250" s="584" t="s">
        <v>67</v>
      </c>
      <c r="AS250" s="585" t="s">
        <v>67</v>
      </c>
      <c r="AT250" s="535" t="s">
        <v>67</v>
      </c>
      <c r="AU250" s="582" t="s">
        <v>67</v>
      </c>
      <c r="AV250" s="582" t="s">
        <v>67</v>
      </c>
      <c r="AW250" s="582" t="s">
        <v>67</v>
      </c>
      <c r="AX250" s="583" t="s">
        <v>67</v>
      </c>
      <c r="AY250" s="584" t="s">
        <v>67</v>
      </c>
      <c r="AZ250" s="585" t="s">
        <v>67</v>
      </c>
      <c r="BA250" s="535">
        <v>1197</v>
      </c>
      <c r="BB250" s="582">
        <v>1127</v>
      </c>
      <c r="BC250" s="582">
        <v>871</v>
      </c>
      <c r="BD250" s="582">
        <v>871</v>
      </c>
      <c r="BE250" s="583">
        <v>735</v>
      </c>
      <c r="BF250" s="584">
        <f t="shared" si="490"/>
        <v>0.77284826974267973</v>
      </c>
      <c r="BG250" s="585">
        <f t="shared" si="491"/>
        <v>1</v>
      </c>
      <c r="BH250" s="535">
        <v>1005</v>
      </c>
      <c r="BI250" s="582">
        <v>982</v>
      </c>
      <c r="BJ250" s="582">
        <v>710</v>
      </c>
      <c r="BK250" s="582">
        <v>710</v>
      </c>
      <c r="BL250" s="583">
        <v>596</v>
      </c>
      <c r="BM250" s="584">
        <f t="shared" si="472"/>
        <v>0.72301425661914465</v>
      </c>
      <c r="BN250" s="585">
        <f t="shared" si="473"/>
        <v>1</v>
      </c>
      <c r="BO250" s="535">
        <v>854</v>
      </c>
      <c r="BP250" s="582">
        <v>834</v>
      </c>
      <c r="BQ250" s="582">
        <v>617</v>
      </c>
      <c r="BR250" s="582">
        <v>617</v>
      </c>
      <c r="BS250" s="583">
        <v>535</v>
      </c>
      <c r="BT250" s="584">
        <f t="shared" si="474"/>
        <v>0.73980815347721818</v>
      </c>
      <c r="BU250" s="585">
        <f t="shared" si="475"/>
        <v>1</v>
      </c>
      <c r="BV250" s="535">
        <v>695</v>
      </c>
      <c r="BW250" s="582">
        <v>678</v>
      </c>
      <c r="BX250" s="582">
        <v>469</v>
      </c>
      <c r="BY250" s="582">
        <v>469</v>
      </c>
      <c r="BZ250" s="583">
        <v>354</v>
      </c>
      <c r="CA250" s="584">
        <f t="shared" si="476"/>
        <v>0.69174041297935107</v>
      </c>
      <c r="CB250" s="585">
        <f t="shared" si="477"/>
        <v>1</v>
      </c>
      <c r="CC250" s="535">
        <v>757</v>
      </c>
      <c r="CD250" s="582">
        <v>734</v>
      </c>
      <c r="CE250" s="582">
        <v>540</v>
      </c>
      <c r="CF250" s="582">
        <v>540</v>
      </c>
      <c r="CG250" s="583">
        <v>465</v>
      </c>
      <c r="CH250" s="584">
        <f t="shared" si="478"/>
        <v>0.73569482288828336</v>
      </c>
      <c r="CI250" s="585">
        <f t="shared" si="479"/>
        <v>1</v>
      </c>
      <c r="CJ250" s="535">
        <v>726</v>
      </c>
      <c r="CK250" s="582">
        <v>709</v>
      </c>
      <c r="CL250" s="582">
        <v>447</v>
      </c>
      <c r="CM250" s="582">
        <v>447</v>
      </c>
      <c r="CN250" s="583">
        <v>390</v>
      </c>
      <c r="CO250" s="584">
        <f t="shared" si="480"/>
        <v>0.63046544428772922</v>
      </c>
      <c r="CP250" s="665">
        <f t="shared" si="481"/>
        <v>1</v>
      </c>
      <c r="CQ250" s="584">
        <v>0.63046544428772922</v>
      </c>
      <c r="CR250" s="585">
        <v>1</v>
      </c>
      <c r="CS250" s="535">
        <v>829</v>
      </c>
      <c r="CT250" s="582">
        <v>806</v>
      </c>
      <c r="CU250" s="582">
        <v>600</v>
      </c>
      <c r="CV250" s="582">
        <v>600</v>
      </c>
      <c r="CW250" s="583">
        <v>532</v>
      </c>
      <c r="CX250" s="584">
        <f t="shared" si="482"/>
        <v>0.74441687344913154</v>
      </c>
      <c r="CY250" s="665">
        <f t="shared" si="483"/>
        <v>1</v>
      </c>
      <c r="CZ250" s="584">
        <v>0.74441687344913154</v>
      </c>
      <c r="DA250" s="585">
        <v>1</v>
      </c>
      <c r="DB250" s="535">
        <v>951</v>
      </c>
      <c r="DC250" s="582">
        <v>921</v>
      </c>
      <c r="DD250" s="582">
        <v>644</v>
      </c>
      <c r="DE250" s="582">
        <v>644</v>
      </c>
      <c r="DF250" s="583">
        <v>566</v>
      </c>
      <c r="DG250" s="584">
        <f t="shared" si="484"/>
        <v>0.69923995656894677</v>
      </c>
      <c r="DH250" s="665">
        <f t="shared" si="485"/>
        <v>1</v>
      </c>
      <c r="DI250" s="584">
        <v>0.69923995656894677</v>
      </c>
      <c r="DJ250" s="585">
        <v>1</v>
      </c>
      <c r="DK250" s="535">
        <v>928</v>
      </c>
      <c r="DL250" s="582">
        <v>899</v>
      </c>
      <c r="DM250" s="582">
        <v>677</v>
      </c>
      <c r="DN250" s="582">
        <v>677</v>
      </c>
      <c r="DO250" s="583">
        <v>612</v>
      </c>
      <c r="DP250" s="584">
        <f t="shared" si="486"/>
        <v>0.75305895439377091</v>
      </c>
      <c r="DQ250" s="665">
        <f t="shared" si="487"/>
        <v>1</v>
      </c>
      <c r="DR250" s="584">
        <v>0.75305895439377091</v>
      </c>
      <c r="DS250" s="585">
        <v>1</v>
      </c>
      <c r="DT250" s="535">
        <v>872</v>
      </c>
      <c r="DU250" s="582">
        <v>854</v>
      </c>
      <c r="DV250" s="582">
        <v>664</v>
      </c>
      <c r="DW250" s="582">
        <v>664</v>
      </c>
      <c r="DX250" s="583">
        <v>575</v>
      </c>
      <c r="DY250" s="584">
        <f t="shared" si="488"/>
        <v>0.77751756440281028</v>
      </c>
      <c r="DZ250" s="665">
        <f t="shared" si="489"/>
        <v>1</v>
      </c>
      <c r="EA250" s="584">
        <v>0.77751756440281028</v>
      </c>
      <c r="EB250" s="585">
        <v>1</v>
      </c>
    </row>
    <row r="251" spans="1:132" ht="13.5" thickBot="1" x14ac:dyDescent="0.25">
      <c r="A251" s="597" t="s">
        <v>584</v>
      </c>
      <c r="B251" s="589" t="s">
        <v>585</v>
      </c>
      <c r="C251" s="590" t="s">
        <v>199</v>
      </c>
      <c r="D251" s="591" t="s">
        <v>67</v>
      </c>
      <c r="E251" s="592" t="s">
        <v>67</v>
      </c>
      <c r="F251" s="592" t="s">
        <v>67</v>
      </c>
      <c r="G251" s="592" t="s">
        <v>67</v>
      </c>
      <c r="H251" s="593" t="s">
        <v>67</v>
      </c>
      <c r="I251" s="594" t="s">
        <v>67</v>
      </c>
      <c r="J251" s="595" t="s">
        <v>67</v>
      </c>
      <c r="K251" s="591" t="s">
        <v>67</v>
      </c>
      <c r="L251" s="592" t="s">
        <v>67</v>
      </c>
      <c r="M251" s="592" t="s">
        <v>67</v>
      </c>
      <c r="N251" s="592" t="s">
        <v>67</v>
      </c>
      <c r="O251" s="593" t="s">
        <v>67</v>
      </c>
      <c r="P251" s="594" t="s">
        <v>67</v>
      </c>
      <c r="Q251" s="595" t="s">
        <v>67</v>
      </c>
      <c r="R251" s="591" t="s">
        <v>67</v>
      </c>
      <c r="S251" s="592" t="s">
        <v>67</v>
      </c>
      <c r="T251" s="592" t="s">
        <v>67</v>
      </c>
      <c r="U251" s="592" t="s">
        <v>67</v>
      </c>
      <c r="V251" s="593" t="s">
        <v>67</v>
      </c>
      <c r="W251" s="594" t="s">
        <v>67</v>
      </c>
      <c r="X251" s="595" t="s">
        <v>67</v>
      </c>
      <c r="Y251" s="591" t="s">
        <v>67</v>
      </c>
      <c r="Z251" s="592" t="s">
        <v>67</v>
      </c>
      <c r="AA251" s="592" t="s">
        <v>67</v>
      </c>
      <c r="AB251" s="592" t="s">
        <v>67</v>
      </c>
      <c r="AC251" s="593" t="s">
        <v>67</v>
      </c>
      <c r="AD251" s="594" t="s">
        <v>67</v>
      </c>
      <c r="AE251" s="595" t="s">
        <v>67</v>
      </c>
      <c r="AF251" s="591" t="s">
        <v>67</v>
      </c>
      <c r="AG251" s="592" t="s">
        <v>67</v>
      </c>
      <c r="AH251" s="592" t="s">
        <v>67</v>
      </c>
      <c r="AI251" s="592" t="s">
        <v>67</v>
      </c>
      <c r="AJ251" s="593" t="s">
        <v>67</v>
      </c>
      <c r="AK251" s="594" t="s">
        <v>67</v>
      </c>
      <c r="AL251" s="595" t="s">
        <v>67</v>
      </c>
      <c r="AM251" s="591" t="s">
        <v>67</v>
      </c>
      <c r="AN251" s="592" t="s">
        <v>67</v>
      </c>
      <c r="AO251" s="592" t="s">
        <v>67</v>
      </c>
      <c r="AP251" s="592" t="s">
        <v>67</v>
      </c>
      <c r="AQ251" s="593" t="s">
        <v>67</v>
      </c>
      <c r="AR251" s="594" t="s">
        <v>67</v>
      </c>
      <c r="AS251" s="595" t="s">
        <v>67</v>
      </c>
      <c r="AT251" s="591" t="s">
        <v>67</v>
      </c>
      <c r="AU251" s="592" t="s">
        <v>67</v>
      </c>
      <c r="AV251" s="592" t="s">
        <v>67</v>
      </c>
      <c r="AW251" s="592" t="s">
        <v>67</v>
      </c>
      <c r="AX251" s="593" t="s">
        <v>67</v>
      </c>
      <c r="AY251" s="594" t="s">
        <v>67</v>
      </c>
      <c r="AZ251" s="595" t="s">
        <v>67</v>
      </c>
      <c r="BA251" s="591">
        <v>1197</v>
      </c>
      <c r="BB251" s="592">
        <v>1127</v>
      </c>
      <c r="BC251" s="592">
        <v>871</v>
      </c>
      <c r="BD251" s="592">
        <v>871</v>
      </c>
      <c r="BE251" s="593">
        <v>735</v>
      </c>
      <c r="BF251" s="594">
        <f t="shared" ref="BF251" si="492">BD251/BB251</f>
        <v>0.77284826974267973</v>
      </c>
      <c r="BG251" s="595">
        <f t="shared" ref="BG251" si="493">BD251/BC251</f>
        <v>1</v>
      </c>
      <c r="BH251" s="591">
        <v>365</v>
      </c>
      <c r="BI251" s="592">
        <v>346</v>
      </c>
      <c r="BJ251" s="592">
        <v>346</v>
      </c>
      <c r="BK251" s="592">
        <v>346</v>
      </c>
      <c r="BL251" s="593">
        <v>319</v>
      </c>
      <c r="BM251" s="594">
        <f t="shared" si="472"/>
        <v>1</v>
      </c>
      <c r="BN251" s="595">
        <f t="shared" si="473"/>
        <v>1</v>
      </c>
      <c r="BO251" s="591">
        <v>322</v>
      </c>
      <c r="BP251" s="592">
        <v>286</v>
      </c>
      <c r="BQ251" s="592">
        <v>286</v>
      </c>
      <c r="BR251" s="592">
        <v>286</v>
      </c>
      <c r="BS251" s="593">
        <v>197</v>
      </c>
      <c r="BT251" s="594">
        <f t="shared" si="474"/>
        <v>1</v>
      </c>
      <c r="BU251" s="595">
        <f t="shared" si="475"/>
        <v>1</v>
      </c>
      <c r="BV251" s="591">
        <v>289</v>
      </c>
      <c r="BW251" s="592">
        <v>270</v>
      </c>
      <c r="BX251" s="592">
        <v>270</v>
      </c>
      <c r="BY251" s="592">
        <v>270</v>
      </c>
      <c r="BZ251" s="593">
        <v>238</v>
      </c>
      <c r="CA251" s="594">
        <f t="shared" si="476"/>
        <v>1</v>
      </c>
      <c r="CB251" s="595">
        <f t="shared" si="477"/>
        <v>1</v>
      </c>
      <c r="CC251" s="591">
        <v>702</v>
      </c>
      <c r="CD251" s="592">
        <v>689</v>
      </c>
      <c r="CE251" s="592">
        <v>689</v>
      </c>
      <c r="CF251" s="592">
        <v>689</v>
      </c>
      <c r="CG251" s="593">
        <v>578</v>
      </c>
      <c r="CH251" s="594">
        <f t="shared" si="478"/>
        <v>1</v>
      </c>
      <c r="CI251" s="595">
        <f t="shared" si="479"/>
        <v>1</v>
      </c>
      <c r="CJ251" s="591">
        <v>1258</v>
      </c>
      <c r="CK251" s="592">
        <v>1235</v>
      </c>
      <c r="CL251" s="592">
        <v>1234</v>
      </c>
      <c r="CM251" s="592">
        <v>1234</v>
      </c>
      <c r="CN251" s="593">
        <v>997</v>
      </c>
      <c r="CO251" s="594">
        <f t="shared" si="480"/>
        <v>0.99919028340080973</v>
      </c>
      <c r="CP251" s="666">
        <f t="shared" si="481"/>
        <v>1</v>
      </c>
      <c r="CQ251" s="594">
        <v>0.99919028340080973</v>
      </c>
      <c r="CR251" s="595">
        <v>1</v>
      </c>
      <c r="CS251" s="591">
        <v>960</v>
      </c>
      <c r="CT251" s="592">
        <v>947</v>
      </c>
      <c r="CU251" s="592">
        <v>947</v>
      </c>
      <c r="CV251" s="592">
        <v>947</v>
      </c>
      <c r="CW251" s="593">
        <v>832</v>
      </c>
      <c r="CX251" s="594">
        <f t="shared" si="482"/>
        <v>1</v>
      </c>
      <c r="CY251" s="666">
        <f t="shared" si="483"/>
        <v>1</v>
      </c>
      <c r="CZ251" s="594">
        <v>1</v>
      </c>
      <c r="DA251" s="595">
        <v>1</v>
      </c>
      <c r="DB251" s="591">
        <v>843</v>
      </c>
      <c r="DC251" s="592">
        <v>836</v>
      </c>
      <c r="DD251" s="592">
        <v>835</v>
      </c>
      <c r="DE251" s="592">
        <v>835</v>
      </c>
      <c r="DF251" s="593">
        <v>719</v>
      </c>
      <c r="DG251" s="594">
        <f t="shared" si="484"/>
        <v>0.99880382775119614</v>
      </c>
      <c r="DH251" s="666">
        <f t="shared" si="485"/>
        <v>1</v>
      </c>
      <c r="DI251" s="594">
        <v>0.99880382775119614</v>
      </c>
      <c r="DJ251" s="595">
        <v>1</v>
      </c>
      <c r="DK251" s="591">
        <v>884</v>
      </c>
      <c r="DL251" s="592">
        <v>880</v>
      </c>
      <c r="DM251" s="592">
        <v>880</v>
      </c>
      <c r="DN251" s="592">
        <v>880</v>
      </c>
      <c r="DO251" s="593">
        <v>720</v>
      </c>
      <c r="DP251" s="594">
        <f t="shared" si="486"/>
        <v>1</v>
      </c>
      <c r="DQ251" s="666">
        <f t="shared" si="487"/>
        <v>1</v>
      </c>
      <c r="DR251" s="594">
        <v>1</v>
      </c>
      <c r="DS251" s="595">
        <v>1</v>
      </c>
      <c r="DT251" s="591">
        <v>695</v>
      </c>
      <c r="DU251" s="592">
        <v>686</v>
      </c>
      <c r="DV251" s="592">
        <v>686</v>
      </c>
      <c r="DW251" s="592">
        <v>680</v>
      </c>
      <c r="DX251" s="593">
        <v>567</v>
      </c>
      <c r="DY251" s="594">
        <f t="shared" si="488"/>
        <v>0.99125364431486884</v>
      </c>
      <c r="DZ251" s="666">
        <f t="shared" si="489"/>
        <v>0.99125364431486884</v>
      </c>
      <c r="EA251" s="594">
        <v>0.99125364431486884</v>
      </c>
      <c r="EB251" s="595">
        <v>0.99125364431486884</v>
      </c>
    </row>
    <row r="252" spans="1:132" ht="15.75" thickTop="1" x14ac:dyDescent="0.25">
      <c r="A252" s="6" t="s">
        <v>536</v>
      </c>
      <c r="B252" s="234"/>
      <c r="AM252"/>
      <c r="AN252" s="2"/>
      <c r="AO252" s="2"/>
      <c r="AP252" s="2"/>
      <c r="AQ252" s="2"/>
      <c r="AT252"/>
      <c r="AU252" s="2"/>
      <c r="AV252" s="2"/>
      <c r="AW252" s="2"/>
      <c r="AX252" s="2"/>
      <c r="BA252"/>
      <c r="BB252" s="2"/>
      <c r="BC252" s="2"/>
      <c r="BD252" s="2"/>
      <c r="BE252" s="2"/>
      <c r="BH252"/>
      <c r="BI252" s="2"/>
      <c r="BJ252" s="2"/>
      <c r="BK252" s="2"/>
      <c r="BL252" s="2"/>
      <c r="BO252"/>
      <c r="BP252" s="2"/>
      <c r="BQ252" s="2"/>
      <c r="BR252" s="2"/>
      <c r="BS252" s="2"/>
      <c r="BV252"/>
      <c r="BW252" s="2"/>
      <c r="BX252" s="2"/>
      <c r="BY252" s="2"/>
      <c r="BZ252" s="2"/>
      <c r="CC252"/>
      <c r="CD252" s="2"/>
      <c r="CE252" s="2"/>
      <c r="CF252" s="2"/>
      <c r="CG252" s="2"/>
      <c r="CJ252"/>
      <c r="CK252" s="2"/>
      <c r="CL252" s="2"/>
      <c r="CM252" s="2"/>
      <c r="CN252" s="2"/>
    </row>
    <row r="253" spans="1:132" ht="15" x14ac:dyDescent="0.25">
      <c r="A253" s="6" t="s">
        <v>537</v>
      </c>
      <c r="B253" s="234"/>
      <c r="AM253"/>
      <c r="AN253" s="2"/>
      <c r="AO253" s="2"/>
      <c r="AP253" s="2"/>
      <c r="AQ253" s="2"/>
      <c r="AT253"/>
      <c r="AU253" s="2"/>
      <c r="AV253" s="2"/>
      <c r="AW253" s="2"/>
      <c r="AX253" s="2"/>
      <c r="BA253"/>
      <c r="BB253" s="2"/>
      <c r="BC253" s="2"/>
      <c r="BD253" s="2"/>
      <c r="BE253" s="2"/>
      <c r="BH253"/>
      <c r="BI253" s="2"/>
      <c r="BJ253" s="2"/>
      <c r="BK253" s="2"/>
      <c r="BL253" s="2"/>
      <c r="BO253"/>
      <c r="BP253" s="2"/>
      <c r="BQ253" s="2"/>
      <c r="BR253" s="2"/>
      <c r="BS253" s="2"/>
      <c r="BV253"/>
      <c r="BW253" s="2"/>
      <c r="BX253" s="2"/>
      <c r="BY253" s="2"/>
      <c r="BZ253" s="2"/>
      <c r="CC253"/>
      <c r="CD253" s="2"/>
      <c r="CE253" s="2"/>
      <c r="CF253" s="2"/>
      <c r="CG253" s="2"/>
      <c r="CJ253"/>
      <c r="CK253" s="2"/>
      <c r="CL253" s="2"/>
      <c r="CM253" s="2"/>
      <c r="CN253" s="2"/>
    </row>
    <row r="254" spans="1:132" ht="15" x14ac:dyDescent="0.25">
      <c r="A254" s="6" t="s">
        <v>538</v>
      </c>
      <c r="B254" s="234"/>
      <c r="AM254"/>
      <c r="AN254" s="2"/>
      <c r="AO254" s="2"/>
      <c r="AP254" s="2"/>
      <c r="AQ254" s="2"/>
      <c r="AT254"/>
      <c r="AU254" s="2"/>
      <c r="AV254" s="2"/>
      <c r="AW254" s="2"/>
      <c r="AX254" s="2"/>
      <c r="BA254"/>
      <c r="BB254" s="2"/>
      <c r="BC254" s="2"/>
      <c r="BD254" s="2"/>
      <c r="BE254" s="2"/>
      <c r="BH254"/>
      <c r="BI254" s="2"/>
      <c r="BJ254" s="2"/>
      <c r="BK254" s="2"/>
      <c r="BL254" s="2"/>
      <c r="BO254"/>
      <c r="BP254" s="2"/>
      <c r="BQ254" s="2"/>
      <c r="BR254" s="2"/>
      <c r="BS254" s="2"/>
      <c r="BV254"/>
      <c r="BW254" s="2"/>
      <c r="BX254" s="2"/>
      <c r="BY254" s="2"/>
      <c r="BZ254" s="2"/>
      <c r="CC254"/>
      <c r="CD254" s="2"/>
      <c r="CE254" s="2"/>
      <c r="CF254" s="2"/>
      <c r="CG254" s="2"/>
      <c r="CJ254"/>
      <c r="CK254" s="2"/>
      <c r="CL254" s="2"/>
      <c r="CM254" s="2"/>
      <c r="CN254" s="2"/>
    </row>
    <row r="255" spans="1:132" ht="15" x14ac:dyDescent="0.25">
      <c r="A255" s="252" t="s">
        <v>539</v>
      </c>
      <c r="B255" s="234"/>
      <c r="AM255"/>
      <c r="AN255" s="2"/>
      <c r="AO255" s="2"/>
      <c r="AP255" s="2"/>
      <c r="AQ255" s="2"/>
      <c r="AT255"/>
      <c r="AU255" s="2"/>
      <c r="AV255" s="2"/>
      <c r="AW255" s="2"/>
      <c r="AX255" s="2"/>
      <c r="BA255"/>
      <c r="BB255" s="2"/>
      <c r="BC255" s="2"/>
      <c r="BD255" s="2"/>
      <c r="BE255" s="2"/>
      <c r="BH255"/>
      <c r="BI255" s="2"/>
      <c r="BJ255" s="2"/>
      <c r="BK255" s="2"/>
      <c r="BL255" s="2"/>
      <c r="BO255"/>
      <c r="BP255" s="2"/>
      <c r="BQ255" s="2"/>
      <c r="BR255" s="2"/>
      <c r="BS255" s="2"/>
      <c r="BV255"/>
      <c r="BW255" s="2"/>
      <c r="BX255" s="2"/>
      <c r="BY255" s="2"/>
      <c r="BZ255" s="2"/>
      <c r="CC255"/>
      <c r="CD255" s="2"/>
      <c r="CE255" s="2"/>
      <c r="CF255" s="2"/>
      <c r="CG255" s="2"/>
      <c r="CJ255"/>
      <c r="CK255" s="2"/>
      <c r="CL255" s="2"/>
      <c r="CM255" s="2"/>
      <c r="CN255" s="2"/>
    </row>
  </sheetData>
  <mergeCells count="18">
    <mergeCell ref="CJ3:CR3"/>
    <mergeCell ref="CC3:CI3"/>
    <mergeCell ref="DT3:EB3"/>
    <mergeCell ref="A3:C4"/>
    <mergeCell ref="D3:J3"/>
    <mergeCell ref="K3:Q3"/>
    <mergeCell ref="R3:X3"/>
    <mergeCell ref="Y3:AE3"/>
    <mergeCell ref="BV3:CB3"/>
    <mergeCell ref="AF3:AL3"/>
    <mergeCell ref="BO3:BU3"/>
    <mergeCell ref="BH3:BN3"/>
    <mergeCell ref="BA3:BG3"/>
    <mergeCell ref="AT3:AZ3"/>
    <mergeCell ref="AM3:AS3"/>
    <mergeCell ref="DK3:DS3"/>
    <mergeCell ref="DB3:DJ3"/>
    <mergeCell ref="CS3:DA3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Obsah</vt:lpstr>
      <vt:lpstr>vš_vše CZ</vt:lpstr>
      <vt:lpstr>vš_druh studia </vt:lpstr>
      <vt:lpstr>vš_programy</vt:lpstr>
      <vt:lpstr>vš_věk x dfst</vt:lpstr>
      <vt:lpstr>vš_věk</vt:lpstr>
      <vt:lpstr>vš_sex</vt:lpstr>
      <vt:lpstr>vš_fakulty_tisk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Hraba Jan</dc:creator>
  <cp:lastModifiedBy>Palyzová Šárka</cp:lastModifiedBy>
  <dcterms:created xsi:type="dcterms:W3CDTF">2013-12-10T09:13:30Z</dcterms:created>
  <dcterms:modified xsi:type="dcterms:W3CDTF">2026-05-27T08:09:15Z</dcterms:modified>
</cp:coreProperties>
</file>