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:\rozpocet a souvisejici\2026\Materiál\Podpis Pravidel\"/>
    </mc:Choice>
  </mc:AlternateContent>
  <xr:revisionPtr revIDLastSave="0" documentId="13_ncr:1_{D1483A85-72F7-4B0F-8093-0C6F1CDBB135}" xr6:coauthVersionLast="47" xr6:coauthVersionMax="47" xr10:uidLastSave="{00000000-0000-0000-0000-000000000000}"/>
  <bookViews>
    <workbookView xWindow="28680" yWindow="-120" windowWidth="29040" windowHeight="15720" tabRatio="897" xr2:uid="{00000000-000D-0000-FFFF-FFFF00000000}"/>
  </bookViews>
  <sheets>
    <sheet name="0 Seznam" sheetId="32" r:id="rId1"/>
    <sheet name="1 Bilance" sheetId="31" r:id="rId2"/>
    <sheet name="2a Výkonová část segment 1" sheetId="15" r:id="rId3"/>
    <sheet name="2b Výkonová část segment 2" sheetId="16" r:id="rId4"/>
    <sheet name="2c Výkonová část segment 3" sheetId="17" r:id="rId5"/>
    <sheet name="2d Výkonová část segment 4" sheetId="18" r:id="rId6"/>
    <sheet name="3a Ukazatel P - lékařské fakult" sheetId="34" r:id="rId7"/>
    <sheet name="3b Ukazatel P - VETUNI" sheetId="20" r:id="rId8"/>
    <sheet name="3c Ukazatel P - NLZSP" sheetId="35" r:id="rId9"/>
    <sheet name="4 RO I" sheetId="10" r:id="rId10"/>
    <sheet name="5 Ukazatel C" sheetId="12" r:id="rId11"/>
    <sheet name="6 Ukazatel U" sheetId="13" r:id="rId12"/>
    <sheet name="7 Ukazatel I" sheetId="26" r:id="rId13"/>
    <sheet name="8 Fond umělecké činnosti" sheetId="27" r:id="rId14"/>
    <sheet name="9a U3V" sheetId="21" r:id="rId15"/>
    <sheet name="9b SSP" sheetId="22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0" i="31" l="1"/>
  <c r="J69" i="31"/>
  <c r="J68" i="31"/>
  <c r="H68" i="31"/>
  <c r="H70" i="31"/>
  <c r="H69" i="31"/>
  <c r="S39" i="18" l="1"/>
  <c r="T34" i="18" s="1"/>
  <c r="T39" i="18" s="1"/>
  <c r="Q39" i="18"/>
  <c r="R34" i="18" s="1"/>
  <c r="T38" i="18"/>
  <c r="T37" i="18"/>
  <c r="T36" i="18"/>
  <c r="R36" i="18"/>
  <c r="T35" i="18"/>
  <c r="R35" i="18"/>
  <c r="S32" i="18"/>
  <c r="T30" i="18" s="1"/>
  <c r="Q32" i="18"/>
  <c r="R30" i="18" s="1"/>
  <c r="F32" i="18"/>
  <c r="E32" i="18"/>
  <c r="T31" i="18"/>
  <c r="R31" i="18"/>
  <c r="G31" i="18"/>
  <c r="G30" i="18"/>
  <c r="G29" i="18"/>
  <c r="T28" i="18"/>
  <c r="R28" i="18"/>
  <c r="G28" i="18"/>
  <c r="R27" i="18"/>
  <c r="G27" i="18"/>
  <c r="G32" i="18" s="1"/>
  <c r="S25" i="18"/>
  <c r="T24" i="18" s="1"/>
  <c r="T10" i="18" s="1"/>
  <c r="Q25" i="18"/>
  <c r="R24" i="18" s="1"/>
  <c r="G25" i="18"/>
  <c r="H24" i="18" s="1"/>
  <c r="F25" i="18"/>
  <c r="E25" i="18"/>
  <c r="G24" i="18"/>
  <c r="G23" i="18"/>
  <c r="H23" i="18" s="1"/>
  <c r="T22" i="18"/>
  <c r="R22" i="18"/>
  <c r="G22" i="18"/>
  <c r="H22" i="18" s="1"/>
  <c r="G21" i="18"/>
  <c r="G20" i="18"/>
  <c r="H20" i="18" s="1"/>
  <c r="P18" i="18"/>
  <c r="M18" i="18"/>
  <c r="L18" i="18"/>
  <c r="K18" i="18"/>
  <c r="I18" i="18"/>
  <c r="J17" i="18" s="1"/>
  <c r="J10" i="18" s="1"/>
  <c r="F18" i="18"/>
  <c r="E18" i="18"/>
  <c r="C18" i="18"/>
  <c r="D15" i="18" s="1"/>
  <c r="D8" i="18" s="1"/>
  <c r="N17" i="18"/>
  <c r="N10" i="18" s="1"/>
  <c r="G17" i="18"/>
  <c r="N16" i="18"/>
  <c r="N9" i="18" s="1"/>
  <c r="G16" i="18"/>
  <c r="N15" i="18"/>
  <c r="N8" i="18" s="1"/>
  <c r="G15" i="18"/>
  <c r="N14" i="18"/>
  <c r="G14" i="18"/>
  <c r="N13" i="18"/>
  <c r="J13" i="18"/>
  <c r="J6" i="18" s="1"/>
  <c r="G13" i="18"/>
  <c r="D13" i="18"/>
  <c r="D6" i="18" s="1"/>
  <c r="P10" i="18"/>
  <c r="L10" i="18"/>
  <c r="P9" i="18"/>
  <c r="L9" i="18"/>
  <c r="P8" i="18"/>
  <c r="L8" i="18"/>
  <c r="P7" i="18"/>
  <c r="N7" i="18"/>
  <c r="L7" i="18"/>
  <c r="P6" i="18"/>
  <c r="P11" i="18" s="1"/>
  <c r="N6" i="18"/>
  <c r="L6" i="18"/>
  <c r="U3" i="18"/>
  <c r="S89" i="17"/>
  <c r="T88" i="17" s="1"/>
  <c r="Q89" i="17"/>
  <c r="R88" i="17"/>
  <c r="T87" i="17"/>
  <c r="R87" i="17"/>
  <c r="T86" i="17"/>
  <c r="R86" i="17"/>
  <c r="T85" i="17"/>
  <c r="R85" i="17"/>
  <c r="T84" i="17"/>
  <c r="R84" i="17"/>
  <c r="T83" i="17"/>
  <c r="R83" i="17"/>
  <c r="T82" i="17"/>
  <c r="R82" i="17"/>
  <c r="T81" i="17"/>
  <c r="R81" i="17"/>
  <c r="T80" i="17"/>
  <c r="R80" i="17"/>
  <c r="T79" i="17"/>
  <c r="R79" i="17"/>
  <c r="T78" i="17"/>
  <c r="R78" i="17"/>
  <c r="T77" i="17"/>
  <c r="R77" i="17"/>
  <c r="T76" i="17"/>
  <c r="R76" i="17"/>
  <c r="T75" i="17"/>
  <c r="R75" i="17"/>
  <c r="T74" i="17"/>
  <c r="T89" i="17" s="1"/>
  <c r="R74" i="17"/>
  <c r="R89" i="17" s="1"/>
  <c r="S72" i="17"/>
  <c r="T61" i="17" s="1"/>
  <c r="Q72" i="17"/>
  <c r="F72" i="17"/>
  <c r="E72" i="17"/>
  <c r="R71" i="17"/>
  <c r="G71" i="17"/>
  <c r="R70" i="17"/>
  <c r="G70" i="17"/>
  <c r="R69" i="17"/>
  <c r="G69" i="17"/>
  <c r="R68" i="17"/>
  <c r="G68" i="17"/>
  <c r="R67" i="17"/>
  <c r="G67" i="17"/>
  <c r="H67" i="17" s="1"/>
  <c r="R66" i="17"/>
  <c r="G66" i="17"/>
  <c r="H66" i="17" s="1"/>
  <c r="R65" i="17"/>
  <c r="G65" i="17"/>
  <c r="R64" i="17"/>
  <c r="G64" i="17"/>
  <c r="R63" i="17"/>
  <c r="G63" i="17"/>
  <c r="R62" i="17"/>
  <c r="G62" i="17"/>
  <c r="R61" i="17"/>
  <c r="G61" i="17"/>
  <c r="H61" i="17" s="1"/>
  <c r="R60" i="17"/>
  <c r="G60" i="17"/>
  <c r="H60" i="17" s="1"/>
  <c r="R59" i="17"/>
  <c r="G59" i="17"/>
  <c r="R58" i="17"/>
  <c r="G58" i="17"/>
  <c r="R57" i="17"/>
  <c r="R72" i="17" s="1"/>
  <c r="G57" i="17"/>
  <c r="G72" i="17" s="1"/>
  <c r="S55" i="17"/>
  <c r="T54" i="17" s="1"/>
  <c r="Q55" i="17"/>
  <c r="R54" i="17" s="1"/>
  <c r="R20" i="17" s="1"/>
  <c r="G55" i="17"/>
  <c r="H41" i="17" s="1"/>
  <c r="F55" i="17"/>
  <c r="E55" i="17"/>
  <c r="G54" i="17"/>
  <c r="H54" i="17" s="1"/>
  <c r="G53" i="17"/>
  <c r="T52" i="17"/>
  <c r="R52" i="17"/>
  <c r="R18" i="17" s="1"/>
  <c r="G52" i="17"/>
  <c r="H52" i="17" s="1"/>
  <c r="G51" i="17"/>
  <c r="H51" i="17" s="1"/>
  <c r="G50" i="17"/>
  <c r="T49" i="17"/>
  <c r="R49" i="17"/>
  <c r="R15" i="17" s="1"/>
  <c r="G49" i="17"/>
  <c r="H49" i="17" s="1"/>
  <c r="G48" i="17"/>
  <c r="H48" i="17" s="1"/>
  <c r="G47" i="17"/>
  <c r="T46" i="17"/>
  <c r="R46" i="17"/>
  <c r="R12" i="17" s="1"/>
  <c r="G46" i="17"/>
  <c r="H46" i="17" s="1"/>
  <c r="G45" i="17"/>
  <c r="H45" i="17" s="1"/>
  <c r="G44" i="17"/>
  <c r="T43" i="17"/>
  <c r="R43" i="17"/>
  <c r="R9" i="17" s="1"/>
  <c r="G43" i="17"/>
  <c r="H43" i="17" s="1"/>
  <c r="G42" i="17"/>
  <c r="H42" i="17" s="1"/>
  <c r="T41" i="17"/>
  <c r="G41" i="17"/>
  <c r="T40" i="17"/>
  <c r="R40" i="17"/>
  <c r="G40" i="17"/>
  <c r="H40" i="17" s="1"/>
  <c r="P38" i="17"/>
  <c r="O38" i="17"/>
  <c r="M38" i="17"/>
  <c r="N37" i="17" s="1"/>
  <c r="N20" i="17" s="1"/>
  <c r="L38" i="17"/>
  <c r="I38" i="17"/>
  <c r="J33" i="17" s="1"/>
  <c r="J16" i="17" s="1"/>
  <c r="F38" i="17"/>
  <c r="E38" i="17"/>
  <c r="C38" i="17"/>
  <c r="G37" i="17"/>
  <c r="D37" i="17"/>
  <c r="N36" i="17"/>
  <c r="N19" i="17" s="1"/>
  <c r="G36" i="17"/>
  <c r="H36" i="17" s="1"/>
  <c r="D36" i="17"/>
  <c r="N35" i="17"/>
  <c r="G35" i="17"/>
  <c r="D35" i="17"/>
  <c r="N34" i="17"/>
  <c r="G34" i="17"/>
  <c r="D34" i="17"/>
  <c r="N33" i="17"/>
  <c r="N16" i="17" s="1"/>
  <c r="G33" i="17"/>
  <c r="D33" i="17"/>
  <c r="G32" i="17"/>
  <c r="H32" i="17" s="1"/>
  <c r="H15" i="17" s="1"/>
  <c r="D32" i="17"/>
  <c r="D15" i="17" s="1"/>
  <c r="N31" i="17"/>
  <c r="G31" i="17"/>
  <c r="D31" i="17"/>
  <c r="N30" i="17"/>
  <c r="G30" i="17"/>
  <c r="H30" i="17" s="1"/>
  <c r="D30" i="17"/>
  <c r="N29" i="17"/>
  <c r="G29" i="17"/>
  <c r="H29" i="17" s="1"/>
  <c r="D29" i="17"/>
  <c r="D12" i="17" s="1"/>
  <c r="N28" i="17"/>
  <c r="G28" i="17"/>
  <c r="D28" i="17"/>
  <c r="N27" i="17"/>
  <c r="G27" i="17"/>
  <c r="H27" i="17" s="1"/>
  <c r="D27" i="17"/>
  <c r="N26" i="17"/>
  <c r="J26" i="17"/>
  <c r="J9" i="17" s="1"/>
  <c r="G26" i="17"/>
  <c r="H26" i="17" s="1"/>
  <c r="D26" i="17"/>
  <c r="N25" i="17"/>
  <c r="G25" i="17"/>
  <c r="D25" i="17"/>
  <c r="N24" i="17"/>
  <c r="N7" i="17" s="1"/>
  <c r="G24" i="17"/>
  <c r="G38" i="17" s="1"/>
  <c r="D24" i="17"/>
  <c r="N23" i="17"/>
  <c r="G23" i="17"/>
  <c r="H23" i="17" s="1"/>
  <c r="D23" i="17"/>
  <c r="D38" i="17" s="1"/>
  <c r="P20" i="17"/>
  <c r="L20" i="17"/>
  <c r="D20" i="17"/>
  <c r="P19" i="17"/>
  <c r="L19" i="17"/>
  <c r="D19" i="17"/>
  <c r="P18" i="17"/>
  <c r="N18" i="17"/>
  <c r="L18" i="17"/>
  <c r="D18" i="17"/>
  <c r="P17" i="17"/>
  <c r="N17" i="17"/>
  <c r="L17" i="17"/>
  <c r="D17" i="17"/>
  <c r="P16" i="17"/>
  <c r="L16" i="17"/>
  <c r="D16" i="17"/>
  <c r="P15" i="17"/>
  <c r="L15" i="17"/>
  <c r="P14" i="17"/>
  <c r="N14" i="17"/>
  <c r="L14" i="17"/>
  <c r="D14" i="17"/>
  <c r="P13" i="17"/>
  <c r="N13" i="17"/>
  <c r="L13" i="17"/>
  <c r="D13" i="17"/>
  <c r="P12" i="17"/>
  <c r="N12" i="17"/>
  <c r="L12" i="17"/>
  <c r="P11" i="17"/>
  <c r="N11" i="17"/>
  <c r="L11" i="17"/>
  <c r="D11" i="17"/>
  <c r="P10" i="17"/>
  <c r="N10" i="17"/>
  <c r="L10" i="17"/>
  <c r="D10" i="17"/>
  <c r="P9" i="17"/>
  <c r="P21" i="17" s="1"/>
  <c r="N9" i="17"/>
  <c r="L9" i="17"/>
  <c r="D9" i="17"/>
  <c r="P8" i="17"/>
  <c r="N8" i="17"/>
  <c r="L8" i="17"/>
  <c r="D8" i="17"/>
  <c r="P7" i="17"/>
  <c r="L7" i="17"/>
  <c r="D7" i="17"/>
  <c r="P6" i="17"/>
  <c r="N6" i="17"/>
  <c r="L6" i="17"/>
  <c r="D6" i="17"/>
  <c r="U3" i="17"/>
  <c r="E20" i="16"/>
  <c r="F19" i="16"/>
  <c r="F18" i="16"/>
  <c r="F20" i="16" s="1"/>
  <c r="E16" i="16"/>
  <c r="F15" i="16"/>
  <c r="F14" i="16"/>
  <c r="F16" i="16" s="1"/>
  <c r="G12" i="16"/>
  <c r="H10" i="16" s="1"/>
  <c r="E12" i="16"/>
  <c r="F11" i="16" s="1"/>
  <c r="F7" i="16" s="1"/>
  <c r="C12" i="16"/>
  <c r="D11" i="16"/>
  <c r="D10" i="16"/>
  <c r="D12" i="16" s="1"/>
  <c r="D7" i="16"/>
  <c r="I3" i="16"/>
  <c r="O34" i="15"/>
  <c r="P33" i="15" s="1"/>
  <c r="P34" i="15" s="1"/>
  <c r="P32" i="15"/>
  <c r="P31" i="15"/>
  <c r="P30" i="15"/>
  <c r="O28" i="15"/>
  <c r="D28" i="15"/>
  <c r="C28" i="15"/>
  <c r="P27" i="15"/>
  <c r="E27" i="15"/>
  <c r="P26" i="15"/>
  <c r="E26" i="15"/>
  <c r="P25" i="15"/>
  <c r="E25" i="15"/>
  <c r="P24" i="15"/>
  <c r="P28" i="15" s="1"/>
  <c r="E24" i="15"/>
  <c r="O22" i="15"/>
  <c r="D22" i="15"/>
  <c r="C22" i="15"/>
  <c r="P21" i="15"/>
  <c r="P9" i="15" s="1"/>
  <c r="E21" i="15"/>
  <c r="P20" i="15"/>
  <c r="P8" i="15" s="1"/>
  <c r="E20" i="15"/>
  <c r="E22" i="15" s="1"/>
  <c r="F18" i="15" s="1"/>
  <c r="P19" i="15"/>
  <c r="P22" i="15" s="1"/>
  <c r="E19" i="15"/>
  <c r="F19" i="15" s="1"/>
  <c r="P18" i="15"/>
  <c r="E18" i="15"/>
  <c r="N16" i="15"/>
  <c r="K16" i="15"/>
  <c r="L12" i="15" s="1"/>
  <c r="J16" i="15"/>
  <c r="G16" i="15"/>
  <c r="H13" i="15" s="1"/>
  <c r="H7" i="15" s="1"/>
  <c r="D16" i="15"/>
  <c r="C16" i="15"/>
  <c r="E15" i="15"/>
  <c r="L14" i="15"/>
  <c r="L8" i="15" s="1"/>
  <c r="E14" i="15"/>
  <c r="F14" i="15" s="1"/>
  <c r="L13" i="15"/>
  <c r="L7" i="15" s="1"/>
  <c r="E13" i="15"/>
  <c r="E12" i="15"/>
  <c r="E16" i="15" s="1"/>
  <c r="N9" i="15"/>
  <c r="J9" i="15"/>
  <c r="N8" i="15"/>
  <c r="J8" i="15"/>
  <c r="N7" i="15"/>
  <c r="J7" i="15"/>
  <c r="P6" i="15"/>
  <c r="N6" i="15"/>
  <c r="N10" i="15" s="1"/>
  <c r="J6" i="15"/>
  <c r="J10" i="15" s="1"/>
  <c r="Q3" i="15"/>
  <c r="L11" i="18" l="1"/>
  <c r="L21" i="17"/>
  <c r="J15" i="18"/>
  <c r="J8" i="18" s="1"/>
  <c r="J31" i="17"/>
  <c r="J14" i="17" s="1"/>
  <c r="J29" i="17"/>
  <c r="J12" i="17" s="1"/>
  <c r="H30" i="18"/>
  <c r="H27" i="18"/>
  <c r="H29" i="18"/>
  <c r="H17" i="18"/>
  <c r="H10" i="18" s="1"/>
  <c r="N11" i="18"/>
  <c r="H13" i="18"/>
  <c r="H16" i="18"/>
  <c r="H9" i="18" s="1"/>
  <c r="H28" i="18"/>
  <c r="H31" i="18"/>
  <c r="R20" i="18"/>
  <c r="R23" i="18"/>
  <c r="R29" i="18"/>
  <c r="R8" i="18" s="1"/>
  <c r="R37" i="18"/>
  <c r="R39" i="18" s="1"/>
  <c r="N18" i="18"/>
  <c r="D14" i="18"/>
  <c r="D7" i="18" s="1"/>
  <c r="G18" i="18"/>
  <c r="T20" i="18"/>
  <c r="T23" i="18"/>
  <c r="T9" i="18" s="1"/>
  <c r="T29" i="18"/>
  <c r="T8" i="18" s="1"/>
  <c r="J16" i="18"/>
  <c r="J9" i="18" s="1"/>
  <c r="R38" i="18"/>
  <c r="R10" i="18" s="1"/>
  <c r="H21" i="18"/>
  <c r="H25" i="18" s="1"/>
  <c r="D16" i="18"/>
  <c r="D9" i="18" s="1"/>
  <c r="J14" i="18"/>
  <c r="J7" i="18" s="1"/>
  <c r="D17" i="18"/>
  <c r="D10" i="18" s="1"/>
  <c r="R21" i="18"/>
  <c r="R7" i="18" s="1"/>
  <c r="T21" i="18"/>
  <c r="T7" i="18" s="1"/>
  <c r="T27" i="18"/>
  <c r="D21" i="17"/>
  <c r="T6" i="17"/>
  <c r="T20" i="17"/>
  <c r="H69" i="17"/>
  <c r="H9" i="17"/>
  <c r="U9" i="17" s="1" a="1"/>
  <c r="U9" i="17" s="1"/>
  <c r="V9" i="17" s="1"/>
  <c r="G22" i="10" s="1"/>
  <c r="H58" i="17"/>
  <c r="H70" i="17"/>
  <c r="H63" i="17"/>
  <c r="H12" i="17" s="1"/>
  <c r="U12" i="17" s="1" a="1"/>
  <c r="U12" i="17" s="1"/>
  <c r="V12" i="17" s="1"/>
  <c r="G26" i="10" s="1"/>
  <c r="H71" i="17"/>
  <c r="H68" i="17"/>
  <c r="H62" i="17"/>
  <c r="H59" i="17"/>
  <c r="H65" i="17"/>
  <c r="T9" i="17"/>
  <c r="H64" i="17"/>
  <c r="H33" i="17"/>
  <c r="H16" i="17" s="1"/>
  <c r="U16" i="17" s="1" a="1"/>
  <c r="U16" i="17" s="1"/>
  <c r="V16" i="17" s="1"/>
  <c r="G31" i="10" s="1"/>
  <c r="H35" i="17"/>
  <c r="H37" i="17"/>
  <c r="H25" i="17"/>
  <c r="H8" i="17" s="1"/>
  <c r="H34" i="17"/>
  <c r="H17" i="17" s="1"/>
  <c r="U17" i="17" s="1" a="1"/>
  <c r="H31" i="17"/>
  <c r="H28" i="17"/>
  <c r="J24" i="17"/>
  <c r="J7" i="17" s="1"/>
  <c r="J36" i="17"/>
  <c r="J19" i="17" s="1"/>
  <c r="T64" i="17"/>
  <c r="H47" i="17"/>
  <c r="H13" i="17" s="1"/>
  <c r="U13" i="17" s="1" a="1"/>
  <c r="U13" i="17" s="1"/>
  <c r="V13" i="17" s="1"/>
  <c r="G27" i="10" s="1"/>
  <c r="J34" i="17"/>
  <c r="J17" i="17" s="1"/>
  <c r="R41" i="17"/>
  <c r="R7" i="17" s="1"/>
  <c r="R44" i="17"/>
  <c r="R10" i="17" s="1"/>
  <c r="R47" i="17"/>
  <c r="R13" i="17" s="1"/>
  <c r="R50" i="17"/>
  <c r="R16" i="17" s="1"/>
  <c r="R53" i="17"/>
  <c r="R19" i="17" s="1"/>
  <c r="T67" i="17"/>
  <c r="H50" i="17"/>
  <c r="R6" i="17"/>
  <c r="J27" i="17"/>
  <c r="J10" i="17" s="1"/>
  <c r="T44" i="17"/>
  <c r="T10" i="17" s="1"/>
  <c r="T47" i="17"/>
  <c r="T13" i="17" s="1"/>
  <c r="T50" i="17"/>
  <c r="T16" i="17" s="1"/>
  <c r="T53" i="17"/>
  <c r="T19" i="17" s="1"/>
  <c r="T59" i="17"/>
  <c r="T62" i="17"/>
  <c r="T65" i="17"/>
  <c r="T68" i="17"/>
  <c r="T71" i="17"/>
  <c r="H24" i="17"/>
  <c r="T58" i="17"/>
  <c r="T7" i="17" s="1"/>
  <c r="J32" i="17"/>
  <c r="J15" i="17" s="1"/>
  <c r="T70" i="17"/>
  <c r="J25" i="17"/>
  <c r="J8" i="17" s="1"/>
  <c r="N32" i="17"/>
  <c r="N15" i="17" s="1"/>
  <c r="N21" i="17" s="1"/>
  <c r="J37" i="17"/>
  <c r="J20" i="17" s="1"/>
  <c r="H57" i="17"/>
  <c r="H72" i="17" s="1"/>
  <c r="H44" i="17"/>
  <c r="H10" i="17" s="1"/>
  <c r="U10" i="17" s="1" a="1"/>
  <c r="J30" i="17"/>
  <c r="J13" i="17" s="1"/>
  <c r="R42" i="17"/>
  <c r="R8" i="17" s="1"/>
  <c r="R45" i="17"/>
  <c r="R11" i="17" s="1"/>
  <c r="R48" i="17"/>
  <c r="R14" i="17" s="1"/>
  <c r="R51" i="17"/>
  <c r="R17" i="17" s="1"/>
  <c r="J23" i="17"/>
  <c r="J35" i="17"/>
  <c r="J18" i="17" s="1"/>
  <c r="T42" i="17"/>
  <c r="T45" i="17"/>
  <c r="T11" i="17" s="1"/>
  <c r="T48" i="17"/>
  <c r="T14" i="17" s="1"/>
  <c r="T51" i="17"/>
  <c r="T17" i="17" s="1"/>
  <c r="T57" i="17"/>
  <c r="T60" i="17"/>
  <c r="T63" i="17"/>
  <c r="T12" i="17" s="1"/>
  <c r="T66" i="17"/>
  <c r="T15" i="17" s="1"/>
  <c r="U15" i="17" s="1" a="1"/>
  <c r="T69" i="17"/>
  <c r="T18" i="17" s="1"/>
  <c r="H53" i="17"/>
  <c r="H19" i="17" s="1"/>
  <c r="U19" i="17" s="1" a="1"/>
  <c r="U19" i="17" s="1"/>
  <c r="V19" i="17" s="1"/>
  <c r="G34" i="10" s="1"/>
  <c r="J28" i="17"/>
  <c r="J11" i="17" s="1"/>
  <c r="H6" i="16"/>
  <c r="I7" i="16" a="1"/>
  <c r="I7" i="16" s="1"/>
  <c r="J7" i="16" s="1"/>
  <c r="G41" i="10" s="1"/>
  <c r="F10" i="16"/>
  <c r="H11" i="16"/>
  <c r="H7" i="16" s="1"/>
  <c r="D6" i="16"/>
  <c r="F21" i="15"/>
  <c r="F22" i="15" s="1"/>
  <c r="L6" i="15"/>
  <c r="L10" i="15" s="1"/>
  <c r="L16" i="15"/>
  <c r="F24" i="15"/>
  <c r="F15" i="15"/>
  <c r="F12" i="15"/>
  <c r="F13" i="15"/>
  <c r="F7" i="15" s="1"/>
  <c r="Q7" i="15" s="1" a="1"/>
  <c r="Q7" i="15" s="1"/>
  <c r="R7" i="15" s="1"/>
  <c r="G37" i="10" s="1"/>
  <c r="F25" i="15"/>
  <c r="F20" i="15"/>
  <c r="F8" i="15" s="1"/>
  <c r="Q8" i="15" s="1" a="1"/>
  <c r="Q8" i="15" s="1"/>
  <c r="R8" i="15" s="1"/>
  <c r="G38" i="10" s="1"/>
  <c r="E28" i="15"/>
  <c r="F26" i="15" s="1"/>
  <c r="H12" i="15"/>
  <c r="H15" i="15"/>
  <c r="H9" i="15" s="1"/>
  <c r="L15" i="15"/>
  <c r="L9" i="15" s="1"/>
  <c r="H14" i="15"/>
  <c r="H8" i="15" s="1"/>
  <c r="P7" i="15"/>
  <c r="P10" i="15" s="1"/>
  <c r="J18" i="18" l="1"/>
  <c r="J11" i="18"/>
  <c r="U15" i="17"/>
  <c r="V15" i="17" s="1"/>
  <c r="G29" i="10" s="1"/>
  <c r="U17" i="17"/>
  <c r="V17" i="17" s="1"/>
  <c r="G32" i="10" s="1"/>
  <c r="U10" i="17"/>
  <c r="V10" i="17" s="1"/>
  <c r="G23" i="10" s="1"/>
  <c r="H6" i="18"/>
  <c r="R9" i="18"/>
  <c r="D18" i="18"/>
  <c r="R32" i="18"/>
  <c r="U9" i="18" a="1"/>
  <c r="U9" i="18" s="1"/>
  <c r="V9" i="18" s="1"/>
  <c r="G25" i="10" s="1"/>
  <c r="D11" i="18"/>
  <c r="R6" i="18"/>
  <c r="R11" i="18" s="1"/>
  <c r="R25" i="18"/>
  <c r="H32" i="18"/>
  <c r="U10" i="18" a="1"/>
  <c r="U10" i="18" s="1"/>
  <c r="V10" i="18" s="1"/>
  <c r="G30" i="10" s="1"/>
  <c r="T32" i="18"/>
  <c r="T25" i="18"/>
  <c r="T6" i="18"/>
  <c r="T11" i="18" s="1"/>
  <c r="H15" i="18"/>
  <c r="H8" i="18" s="1"/>
  <c r="U8" i="18" s="1" a="1"/>
  <c r="U8" i="18" s="1"/>
  <c r="V8" i="18" s="1"/>
  <c r="G20" i="10" s="1"/>
  <c r="H14" i="18"/>
  <c r="H7" i="18" s="1"/>
  <c r="U7" i="18" a="1"/>
  <c r="U7" i="18" s="1"/>
  <c r="V7" i="18" s="1"/>
  <c r="G19" i="10" s="1"/>
  <c r="H18" i="17"/>
  <c r="U18" i="17" s="1" a="1"/>
  <c r="U18" i="17" s="1"/>
  <c r="V18" i="17" s="1"/>
  <c r="G33" i="10" s="1"/>
  <c r="H55" i="17"/>
  <c r="T8" i="17"/>
  <c r="U8" i="17" s="1" a="1"/>
  <c r="U8" i="17" s="1"/>
  <c r="V8" i="17" s="1"/>
  <c r="G21" i="10" s="1"/>
  <c r="T21" i="17"/>
  <c r="H6" i="17"/>
  <c r="H7" i="17"/>
  <c r="U7" i="17" s="1" a="1"/>
  <c r="U7" i="17" s="1"/>
  <c r="V7" i="17" s="1"/>
  <c r="G18" i="10" s="1"/>
  <c r="H38" i="17"/>
  <c r="H11" i="17"/>
  <c r="U11" i="17" s="1" a="1"/>
  <c r="U11" i="17" s="1"/>
  <c r="V11" i="17" s="1"/>
  <c r="G24" i="10" s="1"/>
  <c r="T55" i="17"/>
  <c r="N38" i="17"/>
  <c r="H20" i="17"/>
  <c r="U20" i="17" s="1" a="1"/>
  <c r="U20" i="17" s="1"/>
  <c r="V20" i="17" s="1"/>
  <c r="G35" i="10" s="1"/>
  <c r="J6" i="17"/>
  <c r="J21" i="17" s="1"/>
  <c r="J38" i="17"/>
  <c r="R55" i="17"/>
  <c r="R21" i="17"/>
  <c r="T72" i="17"/>
  <c r="H14" i="17"/>
  <c r="U14" i="17" s="1" a="1"/>
  <c r="U14" i="17" s="1"/>
  <c r="V14" i="17" s="1"/>
  <c r="G28" i="10" s="1"/>
  <c r="H8" i="16"/>
  <c r="D8" i="16"/>
  <c r="I6" i="16" a="1"/>
  <c r="I6" i="16" s="1"/>
  <c r="F6" i="16"/>
  <c r="F8" i="16" s="1"/>
  <c r="F12" i="16"/>
  <c r="H12" i="16"/>
  <c r="F16" i="15"/>
  <c r="F6" i="15"/>
  <c r="F27" i="15"/>
  <c r="F9" i="15" s="1"/>
  <c r="Q9" i="15" s="1" a="1"/>
  <c r="Q9" i="15" s="1"/>
  <c r="R9" i="15" s="1"/>
  <c r="G39" i="10" s="1"/>
  <c r="H6" i="15"/>
  <c r="H10" i="15" s="1"/>
  <c r="H16" i="15"/>
  <c r="H18" i="18" l="1"/>
  <c r="H11" i="18"/>
  <c r="U6" i="18" a="1"/>
  <c r="U6" i="18" s="1"/>
  <c r="H21" i="17"/>
  <c r="U6" i="17" a="1"/>
  <c r="U6" i="17" s="1"/>
  <c r="J6" i="16"/>
  <c r="I8" i="16"/>
  <c r="F28" i="15"/>
  <c r="F10" i="15"/>
  <c r="Q6" i="15" a="1"/>
  <c r="Q6" i="15" s="1"/>
  <c r="J8" i="16" l="1"/>
  <c r="G40" i="10"/>
  <c r="U11" i="18"/>
  <c r="V6" i="18"/>
  <c r="V6" i="17"/>
  <c r="U21" i="17"/>
  <c r="R6" i="15"/>
  <c r="Q10" i="15"/>
  <c r="V11" i="18" l="1"/>
  <c r="G16" i="10"/>
  <c r="V21" i="17"/>
  <c r="G17" i="10"/>
  <c r="R10" i="15"/>
  <c r="G36" i="10"/>
  <c r="G28" i="35"/>
  <c r="E28" i="35"/>
  <c r="D28" i="35"/>
  <c r="C28" i="35"/>
  <c r="I27" i="35"/>
  <c r="F27" i="35"/>
  <c r="I26" i="35"/>
  <c r="J26" i="35"/>
  <c r="K26" i="35" s="1"/>
  <c r="K32" i="10" s="1"/>
  <c r="F26" i="35"/>
  <c r="I25" i="35"/>
  <c r="J25" i="35"/>
  <c r="K25" i="35" s="1"/>
  <c r="K29" i="10" s="1"/>
  <c r="F25" i="35"/>
  <c r="I24" i="35"/>
  <c r="F24" i="35"/>
  <c r="I23" i="35"/>
  <c r="F23" i="35"/>
  <c r="I22" i="35"/>
  <c r="J22" i="35"/>
  <c r="K22" i="35" s="1"/>
  <c r="K25" i="10" s="1"/>
  <c r="F22" i="35"/>
  <c r="I21" i="35"/>
  <c r="J21" i="35"/>
  <c r="K21" i="35" s="1"/>
  <c r="K24" i="10" s="1"/>
  <c r="F21" i="35"/>
  <c r="I20" i="35"/>
  <c r="F20" i="35"/>
  <c r="I19" i="35"/>
  <c r="F19" i="35"/>
  <c r="I18" i="35"/>
  <c r="J18" i="35"/>
  <c r="K18" i="35" s="1"/>
  <c r="K19" i="10" s="1"/>
  <c r="F18" i="35"/>
  <c r="I17" i="35"/>
  <c r="F17" i="35"/>
  <c r="I16" i="35"/>
  <c r="F16" i="35"/>
  <c r="I15" i="35"/>
  <c r="I28" i="35" s="1"/>
  <c r="F15" i="35"/>
  <c r="F28" i="35" s="1"/>
  <c r="C8" i="35"/>
  <c r="C10" i="35" s="1"/>
  <c r="H28" i="35" l="1"/>
  <c r="J17" i="35"/>
  <c r="K17" i="35" s="1"/>
  <c r="K18" i="10" s="1"/>
  <c r="J16" i="35"/>
  <c r="K16" i="35" s="1"/>
  <c r="K17" i="10" s="1"/>
  <c r="J19" i="35"/>
  <c r="K19" i="35" s="1"/>
  <c r="K20" i="10" s="1"/>
  <c r="J23" i="35"/>
  <c r="K23" i="35" s="1"/>
  <c r="K27" i="10" s="1"/>
  <c r="J27" i="35"/>
  <c r="K27" i="35" s="1"/>
  <c r="K40" i="10" s="1"/>
  <c r="J20" i="35"/>
  <c r="K20" i="35" s="1"/>
  <c r="K22" i="10" s="1"/>
  <c r="J24" i="35"/>
  <c r="K24" i="35" s="1"/>
  <c r="K28" i="10" s="1"/>
  <c r="J15" i="35"/>
  <c r="J28" i="35" l="1"/>
  <c r="K15" i="35"/>
  <c r="K28" i="35" l="1"/>
  <c r="K16" i="10"/>
  <c r="K42" i="10" s="1"/>
  <c r="H57" i="31"/>
  <c r="J57" i="31"/>
  <c r="E5" i="22"/>
  <c r="E5" i="21"/>
  <c r="L53" i="31"/>
  <c r="L51" i="31"/>
  <c r="L50" i="31"/>
  <c r="L49" i="31"/>
  <c r="C9" i="27" l="1"/>
  <c r="D11" i="13"/>
  <c r="D10" i="13"/>
  <c r="J28" i="27" l="1"/>
  <c r="J25" i="27"/>
  <c r="J16" i="27"/>
  <c r="C5" i="10"/>
  <c r="D35" i="10" l="1"/>
  <c r="D18" i="10"/>
  <c r="L24" i="31"/>
  <c r="H32" i="31"/>
  <c r="J32" i="31"/>
  <c r="L55" i="31"/>
  <c r="L54" i="31"/>
  <c r="L48" i="31"/>
  <c r="L47" i="31"/>
  <c r="J43" i="31"/>
  <c r="H43" i="31"/>
  <c r="L17" i="31"/>
  <c r="H20" i="31"/>
  <c r="J20" i="31"/>
  <c r="L46" i="31" l="1"/>
  <c r="L35" i="31"/>
  <c r="H33" i="26" l="1"/>
  <c r="C43" i="13" l="1"/>
  <c r="D42" i="13"/>
  <c r="D41" i="13"/>
  <c r="D40" i="13"/>
  <c r="D39" i="13"/>
  <c r="D38" i="13"/>
  <c r="D37" i="13"/>
  <c r="D36" i="13"/>
  <c r="D35" i="13"/>
  <c r="D34" i="13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D20" i="13"/>
  <c r="D19" i="13"/>
  <c r="D18" i="13"/>
  <c r="D17" i="13"/>
  <c r="D43" i="13" l="1"/>
  <c r="J21" i="10"/>
  <c r="J42" i="10" l="1"/>
  <c r="C5" i="12"/>
  <c r="D16" i="12" l="1"/>
  <c r="D20" i="12"/>
  <c r="D23" i="12"/>
  <c r="D10" i="12"/>
  <c r="D29" i="12"/>
  <c r="D14" i="12"/>
  <c r="D11" i="12"/>
  <c r="D34" i="12"/>
  <c r="D22" i="12"/>
  <c r="D9" i="12"/>
  <c r="D21" i="12"/>
  <c r="D18" i="12"/>
  <c r="D30" i="12"/>
  <c r="D26" i="12"/>
  <c r="D33" i="12"/>
  <c r="D27" i="12"/>
  <c r="D32" i="12"/>
  <c r="D19" i="12"/>
  <c r="D17" i="12"/>
  <c r="D31" i="12"/>
  <c r="D15" i="12"/>
  <c r="D13" i="12"/>
  <c r="D25" i="12"/>
  <c r="D28" i="12"/>
  <c r="D12" i="12"/>
  <c r="D24" i="12"/>
  <c r="C6" i="10" l="1"/>
  <c r="H36" i="10" s="1"/>
  <c r="H30" i="10" l="1"/>
  <c r="H18" i="10"/>
  <c r="H23" i="10"/>
  <c r="C35" i="12"/>
  <c r="D35" i="12" l="1"/>
  <c r="H35" i="10" l="1"/>
  <c r="H34" i="10"/>
  <c r="E13" i="34" l="1"/>
  <c r="I22" i="10" s="1"/>
  <c r="E12" i="34"/>
  <c r="I20" i="10" s="1"/>
  <c r="E11" i="34"/>
  <c r="I19" i="10" s="1"/>
  <c r="E10" i="34"/>
  <c r="E9" i="34"/>
  <c r="E8" i="34"/>
  <c r="E7" i="34"/>
  <c r="E6" i="34"/>
  <c r="I16" i="10" s="1"/>
  <c r="D33" i="26" l="1"/>
  <c r="C7" i="10" l="1"/>
  <c r="D32" i="10" l="1"/>
  <c r="D37" i="22"/>
  <c r="E22" i="22" s="1"/>
  <c r="C37" i="22"/>
  <c r="E23" i="22" l="1"/>
  <c r="E20" i="22"/>
  <c r="E11" i="22"/>
  <c r="E33" i="22"/>
  <c r="E29" i="22"/>
  <c r="E25" i="22"/>
  <c r="E21" i="22"/>
  <c r="E17" i="22"/>
  <c r="E13" i="22"/>
  <c r="E12" i="22"/>
  <c r="E31" i="22"/>
  <c r="E36" i="22"/>
  <c r="E32" i="22"/>
  <c r="E28" i="22"/>
  <c r="E24" i="22"/>
  <c r="E16" i="22"/>
  <c r="E35" i="22"/>
  <c r="E27" i="22"/>
  <c r="E19" i="22"/>
  <c r="E15" i="22"/>
  <c r="E34" i="22"/>
  <c r="E30" i="22"/>
  <c r="E26" i="22"/>
  <c r="E18" i="22"/>
  <c r="E14" i="22"/>
  <c r="E6" i="22"/>
  <c r="D37" i="21"/>
  <c r="E6" i="21" s="1"/>
  <c r="E12" i="21" s="1"/>
  <c r="C37" i="21"/>
  <c r="E36" i="21" l="1"/>
  <c r="E32" i="21"/>
  <c r="E28" i="21"/>
  <c r="E24" i="21"/>
  <c r="E20" i="21"/>
  <c r="E16" i="21"/>
  <c r="E25" i="21"/>
  <c r="E35" i="21"/>
  <c r="E31" i="21"/>
  <c r="E27" i="21"/>
  <c r="E23" i="21"/>
  <c r="E19" i="21"/>
  <c r="E15" i="21"/>
  <c r="E11" i="21"/>
  <c r="E29" i="21"/>
  <c r="E17" i="21"/>
  <c r="E13" i="21"/>
  <c r="E34" i="21"/>
  <c r="E30" i="21"/>
  <c r="E26" i="21"/>
  <c r="E22" i="21"/>
  <c r="E18" i="21"/>
  <c r="E14" i="21"/>
  <c r="E33" i="21"/>
  <c r="E21" i="21"/>
  <c r="E37" i="22"/>
  <c r="E37" i="21" l="1"/>
  <c r="D14" i="34"/>
  <c r="E14" i="34" l="1"/>
  <c r="E29" i="27" l="1"/>
  <c r="G29" i="27"/>
  <c r="H29" i="27"/>
  <c r="I14" i="27"/>
  <c r="J14" i="27" s="1"/>
  <c r="I17" i="27"/>
  <c r="J17" i="27" s="1"/>
  <c r="I15" i="27"/>
  <c r="J15" i="27" s="1"/>
  <c r="I16" i="27"/>
  <c r="I18" i="27"/>
  <c r="J18" i="27" s="1"/>
  <c r="I19" i="27"/>
  <c r="J19" i="27" s="1"/>
  <c r="I20" i="27"/>
  <c r="J20" i="27" s="1"/>
  <c r="I21" i="27"/>
  <c r="J21" i="27" s="1"/>
  <c r="I22" i="27"/>
  <c r="J22" i="27" s="1"/>
  <c r="I23" i="27"/>
  <c r="J23" i="27" s="1"/>
  <c r="I24" i="27"/>
  <c r="J24" i="27" s="1"/>
  <c r="I25" i="27"/>
  <c r="I26" i="27"/>
  <c r="J26" i="27" s="1"/>
  <c r="I27" i="27"/>
  <c r="J27" i="27" s="1"/>
  <c r="I28" i="27"/>
  <c r="F29" i="27"/>
  <c r="I13" i="27"/>
  <c r="J13" i="27" s="1"/>
  <c r="I29" i="27" l="1"/>
  <c r="J29" i="27"/>
  <c r="C33" i="26" l="1"/>
  <c r="I42" i="10"/>
  <c r="E42" i="10"/>
  <c r="C42" i="10"/>
  <c r="L45" i="31"/>
  <c r="L44" i="31"/>
  <c r="L42" i="31"/>
  <c r="L41" i="31"/>
  <c r="J40" i="31"/>
  <c r="H40" i="31"/>
  <c r="L34" i="31"/>
  <c r="L33" i="31"/>
  <c r="J37" i="31"/>
  <c r="H37" i="31"/>
  <c r="H29" i="31"/>
  <c r="L28" i="31"/>
  <c r="L27" i="31"/>
  <c r="L26" i="31"/>
  <c r="L23" i="31"/>
  <c r="L18" i="31"/>
  <c r="L16" i="31"/>
  <c r="L15" i="31"/>
  <c r="L7" i="31"/>
  <c r="L6" i="31"/>
  <c r="D22" i="10" l="1"/>
  <c r="F22" i="10" s="1"/>
  <c r="D25" i="10"/>
  <c r="F25" i="10" s="1"/>
  <c r="D16" i="10"/>
  <c r="C4" i="10"/>
  <c r="D20" i="10"/>
  <c r="F20" i="10" s="1"/>
  <c r="D34" i="10"/>
  <c r="F34" i="10" s="1"/>
  <c r="L34" i="10" s="1"/>
  <c r="D31" i="10"/>
  <c r="F31" i="10" s="1"/>
  <c r="J29" i="31"/>
  <c r="L43" i="31"/>
  <c r="L37" i="31"/>
  <c r="L40" i="31"/>
  <c r="L32" i="31"/>
  <c r="L20" i="31"/>
  <c r="L25" i="31"/>
  <c r="D39" i="10"/>
  <c r="F39" i="10" s="1"/>
  <c r="D37" i="10"/>
  <c r="F37" i="10" s="1"/>
  <c r="D41" i="10"/>
  <c r="F41" i="10" s="1"/>
  <c r="F32" i="10"/>
  <c r="D29" i="10"/>
  <c r="F29" i="10" s="1"/>
  <c r="D40" i="10"/>
  <c r="F40" i="10" s="1"/>
  <c r="D38" i="10"/>
  <c r="F38" i="10" s="1"/>
  <c r="D36" i="10"/>
  <c r="F36" i="10" s="1"/>
  <c r="D33" i="10"/>
  <c r="F33" i="10" s="1"/>
  <c r="D30" i="10"/>
  <c r="F30" i="10" s="1"/>
  <c r="L30" i="10" s="1"/>
  <c r="D27" i="10"/>
  <c r="F27" i="10" s="1"/>
  <c r="D28" i="10"/>
  <c r="F28" i="10" s="1"/>
  <c r="D23" i="10"/>
  <c r="F23" i="10" s="1"/>
  <c r="L23" i="10" s="1"/>
  <c r="D21" i="10"/>
  <c r="F21" i="10" s="1"/>
  <c r="D17" i="10"/>
  <c r="F17" i="10" s="1"/>
  <c r="F35" i="10"/>
  <c r="L35" i="10" s="1"/>
  <c r="D26" i="10"/>
  <c r="F26" i="10" s="1"/>
  <c r="D24" i="10"/>
  <c r="F24" i="10" s="1"/>
  <c r="F18" i="10"/>
  <c r="L18" i="10" s="1"/>
  <c r="F5" i="10"/>
  <c r="D19" i="10"/>
  <c r="F19" i="10" s="1"/>
  <c r="F6" i="10"/>
  <c r="J59" i="31" l="1"/>
  <c r="L29" i="31"/>
  <c r="H38" i="10"/>
  <c r="L38" i="10" s="1"/>
  <c r="D42" i="10"/>
  <c r="F16" i="10"/>
  <c r="H37" i="10"/>
  <c r="L37" i="10" s="1"/>
  <c r="H59" i="31"/>
  <c r="L57" i="31"/>
  <c r="K51" i="31" l="1"/>
  <c r="K50" i="31"/>
  <c r="K36" i="31"/>
  <c r="K24" i="31"/>
  <c r="K55" i="31"/>
  <c r="K47" i="31"/>
  <c r="K54" i="31"/>
  <c r="K53" i="31"/>
  <c r="K49" i="31"/>
  <c r="K48" i="31"/>
  <c r="K56" i="31"/>
  <c r="H64" i="31"/>
  <c r="H65" i="31" s="1"/>
  <c r="K19" i="31"/>
  <c r="K17" i="31"/>
  <c r="J64" i="31"/>
  <c r="J65" i="31" s="1"/>
  <c r="K46" i="31"/>
  <c r="K59" i="31"/>
  <c r="K33" i="31"/>
  <c r="K27" i="31"/>
  <c r="K23" i="31"/>
  <c r="K44" i="31"/>
  <c r="K41" i="31"/>
  <c r="K28" i="31"/>
  <c r="K15" i="31"/>
  <c r="K58" i="31"/>
  <c r="K26" i="31"/>
  <c r="K18" i="31"/>
  <c r="K34" i="31"/>
  <c r="K45" i="31"/>
  <c r="K42" i="31"/>
  <c r="K35" i="31"/>
  <c r="K25" i="31"/>
  <c r="K16" i="31"/>
  <c r="K32" i="31"/>
  <c r="K20" i="31"/>
  <c r="K43" i="31"/>
  <c r="K37" i="31"/>
  <c r="K40" i="31"/>
  <c r="K57" i="31"/>
  <c r="K29" i="31"/>
  <c r="L59" i="31"/>
  <c r="H39" i="10"/>
  <c r="L39" i="10" s="1"/>
  <c r="H41" i="10"/>
  <c r="L41" i="10" s="1"/>
  <c r="H22" i="10"/>
  <c r="L22" i="10" s="1"/>
  <c r="H20" i="10"/>
  <c r="L20" i="10" s="1"/>
  <c r="H27" i="10"/>
  <c r="L27" i="10" s="1"/>
  <c r="H33" i="10"/>
  <c r="L33" i="10" s="1"/>
  <c r="H19" i="10"/>
  <c r="L19" i="10" s="1"/>
  <c r="H25" i="10"/>
  <c r="L25" i="10" s="1"/>
  <c r="H31" i="10"/>
  <c r="L31" i="10" s="1"/>
  <c r="H29" i="10"/>
  <c r="L29" i="10" s="1"/>
  <c r="H24" i="10"/>
  <c r="L24" i="10" s="1"/>
  <c r="H26" i="10"/>
  <c r="L26" i="10" s="1"/>
  <c r="H28" i="10"/>
  <c r="L28" i="10" s="1"/>
  <c r="H58" i="31"/>
  <c r="I59" i="31"/>
  <c r="I37" i="31"/>
  <c r="I20" i="31"/>
  <c r="I29" i="31"/>
  <c r="H32" i="10"/>
  <c r="L32" i="10" s="1"/>
  <c r="F42" i="10"/>
  <c r="I57" i="31"/>
  <c r="H21" i="10"/>
  <c r="L21" i="10" s="1"/>
  <c r="I49" i="31" l="1"/>
  <c r="I47" i="31"/>
  <c r="I46" i="31"/>
  <c r="I56" i="31"/>
  <c r="I55" i="31"/>
  <c r="I54" i="31"/>
  <c r="I53" i="31"/>
  <c r="I51" i="31"/>
  <c r="I50" i="31"/>
  <c r="I48" i="31"/>
  <c r="I17" i="31"/>
  <c r="I19" i="31"/>
  <c r="I18" i="31"/>
  <c r="I43" i="31"/>
  <c r="I27" i="31"/>
  <c r="I16" i="31"/>
  <c r="I26" i="31"/>
  <c r="I45" i="31"/>
  <c r="I42" i="31"/>
  <c r="I34" i="31"/>
  <c r="I28" i="31"/>
  <c r="I25" i="31"/>
  <c r="I15" i="31"/>
  <c r="I23" i="31"/>
  <c r="I44" i="31"/>
  <c r="I41" i="31"/>
  <c r="I33" i="31"/>
  <c r="I32" i="31"/>
  <c r="I40" i="31"/>
  <c r="H40" i="10"/>
  <c r="L40" i="10" s="1"/>
  <c r="L36" i="10" l="1"/>
  <c r="H16" i="10"/>
  <c r="L16" i="10" s="1"/>
  <c r="H17" i="10" l="1"/>
  <c r="L17" i="10" s="1"/>
  <c r="G42" i="10" l="1"/>
  <c r="H42" i="10" l="1"/>
  <c r="L42" i="10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<sst xmlns="http://schemas.openxmlformats.org/spreadsheetml/2006/main" count="825" uniqueCount="284">
  <si>
    <t>údaje v Kč</t>
  </si>
  <si>
    <t>Ukazatel P - společenské priority</t>
  </si>
  <si>
    <t>Kód VVŠ</t>
  </si>
  <si>
    <t>Název VVŠ</t>
  </si>
  <si>
    <t>Univerzita Karlova</t>
  </si>
  <si>
    <t>Jihočeská univerzita v Českých Budějovicích</t>
  </si>
  <si>
    <t>Univerzita Jana Evangelisty Purkyně v Ústí nad Labem</t>
  </si>
  <si>
    <t>Masarykova univerzita</t>
  </si>
  <si>
    <t>Univerzita Palackého v Olomouci</t>
  </si>
  <si>
    <t>Ostravská univerzita</t>
  </si>
  <si>
    <t>Univerzita Hradec Králové</t>
  </si>
  <si>
    <t>Slezská univerzita v Opavě</t>
  </si>
  <si>
    <t>České vysoké učení technické v Praze</t>
  </si>
  <si>
    <t>Vysoká škola chemicko-technologická v Praze</t>
  </si>
  <si>
    <t>Západočeská univerzita v Plzni</t>
  </si>
  <si>
    <t>Technická univerzita v Liberci</t>
  </si>
  <si>
    <t>Univerzita Pardubice</t>
  </si>
  <si>
    <t>Vysoké učení technické v Brně</t>
  </si>
  <si>
    <t>Vysoká škola báňská - Technická univerzita Ostrava</t>
  </si>
  <si>
    <t>Univerzita Tomáše Bati ve Zlíně</t>
  </si>
  <si>
    <t>Vysoká škola ekonomická v Praze</t>
  </si>
  <si>
    <t>Česká zemědělská univerzita v Praze</t>
  </si>
  <si>
    <t>Mendelova univerzita v Brně</t>
  </si>
  <si>
    <t>Akademie múzických umění v Praze</t>
  </si>
  <si>
    <t>Akademie výtvarných umění v Praze</t>
  </si>
  <si>
    <t>Vysoká škola uměleckoprůmyslová v Praze</t>
  </si>
  <si>
    <t>Vysoká škola polytechnická Jihlava</t>
  </si>
  <si>
    <t>Vysoká škola technická a ekonomická v Českých Budějovicích</t>
  </si>
  <si>
    <t>Celkem</t>
  </si>
  <si>
    <t>Podíl v %</t>
  </si>
  <si>
    <t>Částka</t>
  </si>
  <si>
    <t>Částka po krácení</t>
  </si>
  <si>
    <t>částka vyčleněná na RO I</t>
  </si>
  <si>
    <t>Kč</t>
  </si>
  <si>
    <t>RO I celkem</t>
  </si>
  <si>
    <t xml:space="preserve">     v tom ukazatel A - fixní část</t>
  </si>
  <si>
    <t xml:space="preserve">     v tom ukazatel K - výkonová část </t>
  </si>
  <si>
    <t xml:space="preserve">     v tom ukazatel P - společenské priority</t>
  </si>
  <si>
    <t>Podíl na A + K</t>
  </si>
  <si>
    <t>Ukazatel A - fixní část</t>
  </si>
  <si>
    <t>Ukazatel K - výkonová část</t>
  </si>
  <si>
    <t>Lékařské fakulty</t>
  </si>
  <si>
    <t xml:space="preserve">                 v tom lékařské fakulty</t>
  </si>
  <si>
    <t>(Nezahrnuje dotace na programy reprodukce majetku)</t>
  </si>
  <si>
    <t>Položka</t>
  </si>
  <si>
    <t>meziroční změna</t>
  </si>
  <si>
    <t>Průměrný normativ</t>
  </si>
  <si>
    <t>x</t>
  </si>
  <si>
    <t>Výpočt. stip. v doktor. studiu (ročně)</t>
  </si>
  <si>
    <t>Základní normativ</t>
  </si>
  <si>
    <t>Výpočtové ubytovací stipendium (ročně)</t>
  </si>
  <si>
    <t xml:space="preserve">Normativ absolventa </t>
  </si>
  <si>
    <t>Výpočtová dotace na 1  jídlo</t>
  </si>
  <si>
    <t>Název ukazatele / položky</t>
  </si>
  <si>
    <t>Rozpočtový okruh I, institucionální část rozpočtu</t>
  </si>
  <si>
    <t>P</t>
  </si>
  <si>
    <t>Celkem normativní část rozpočtu</t>
  </si>
  <si>
    <t>Rozpočtový okruh II, Sociální záležitosti studentů</t>
  </si>
  <si>
    <t>Ukazatel C - stipendia pro studenty doktorských stud. prog.</t>
  </si>
  <si>
    <t>D</t>
  </si>
  <si>
    <t>Ukazatel J - dotace na ubytování a stravování studentů</t>
  </si>
  <si>
    <t>Ukazatel S1 - příspěvek na sociální stipendia VVŠ</t>
  </si>
  <si>
    <t>Ukazatel U1- příspěvek na ubytovací stipendia VVŠ</t>
  </si>
  <si>
    <t>Celkem sociální záležitosti studentů</t>
  </si>
  <si>
    <t>Rozpočtový okruh III, Rozvoj vysokých škol</t>
  </si>
  <si>
    <t xml:space="preserve">Ukazatel I - rozvojové programy </t>
  </si>
  <si>
    <t>Celkem rozvoj vysokých škol</t>
  </si>
  <si>
    <t>Rozpočtový okruh IV, Mezinárodní spolupráce a ostatní</t>
  </si>
  <si>
    <t>Ukazatel D - mezinárodní spolupráce</t>
  </si>
  <si>
    <t>CEEPUS</t>
  </si>
  <si>
    <t>Podpora mezinárodní spolupráce</t>
  </si>
  <si>
    <t>Ukazatel F - Fond vzdělávací politiky</t>
  </si>
  <si>
    <t>Studium studentů se specifickými potřebami</t>
  </si>
  <si>
    <t>Univerzita třetího věku (U3V)</t>
  </si>
  <si>
    <t>další</t>
  </si>
  <si>
    <t>Celkem Mezinárodní spolupráce a ostatní</t>
  </si>
  <si>
    <t>Ukazatel rozpočtu VŠ (zák. o státním rozpočtu)</t>
  </si>
  <si>
    <t>Příspěvek celkem</t>
  </si>
  <si>
    <t>Dotace celkem</t>
  </si>
  <si>
    <t>V některých ukazatelích může být poskytnut příspěvek nebo dotace v závislosti na účelu, na který se poskytuje.</t>
  </si>
  <si>
    <t>Ukazatel C</t>
  </si>
  <si>
    <t xml:space="preserve">Výše příspěvku           v ukazateli </t>
  </si>
  <si>
    <t>Ukazatel U</t>
  </si>
  <si>
    <t>Základní údaje</t>
  </si>
  <si>
    <t>Počet studentů splňujících podmínky VVŠ</t>
  </si>
  <si>
    <t>Počet studentů splňujících podmínky SVŠ</t>
  </si>
  <si>
    <t>Jednotková sazba (Kč)</t>
  </si>
  <si>
    <t>Výše příspěvku pro VVŠ (Kč)</t>
  </si>
  <si>
    <t>Ukazatel U1 - veřejné vysoké školy</t>
  </si>
  <si>
    <t>Název VŠ</t>
  </si>
  <si>
    <t>výše příspěvku</t>
  </si>
  <si>
    <t>Váha parametru</t>
  </si>
  <si>
    <t>Mezinárodní mobility</t>
  </si>
  <si>
    <t>Zaměstnanost abolventů</t>
  </si>
  <si>
    <t>VaV</t>
  </si>
  <si>
    <t>RUV</t>
  </si>
  <si>
    <t>Externí příjmy</t>
  </si>
  <si>
    <t>Podíl v rámci segmentu</t>
  </si>
  <si>
    <t>Celkový podíl na výkonové části</t>
  </si>
  <si>
    <t>Vyslaní</t>
  </si>
  <si>
    <t>Přijatí</t>
  </si>
  <si>
    <t>Podíl</t>
  </si>
  <si>
    <t>CELKEM</t>
  </si>
  <si>
    <t>Graduation rate</t>
  </si>
  <si>
    <t>Zaměstnanost absolventů</t>
  </si>
  <si>
    <t>Cizinci (AP + VP)</t>
  </si>
  <si>
    <t>Název fakulty</t>
  </si>
  <si>
    <t>Částka v Kč</t>
  </si>
  <si>
    <t>Celková částka podle rozpisu rozpočtu (Kč)</t>
  </si>
  <si>
    <t>Jednotková částka na jednu studentohodinu (Kč)</t>
  </si>
  <si>
    <t>Upravený nárok</t>
  </si>
  <si>
    <t>Počet účastníků U3V</t>
  </si>
  <si>
    <t>Počet studento- hodin</t>
  </si>
  <si>
    <t>Celková částka vyčleněná na studium SSP (Kč)</t>
  </si>
  <si>
    <t>Rozsah vykrytí kalkulovaných zvýšených nákladů (%)</t>
  </si>
  <si>
    <t>Kalkulované zvýšené náklady (Kč)</t>
  </si>
  <si>
    <r>
      <t>Sociální stipendium (měsíčně)</t>
    </r>
    <r>
      <rPr>
        <b/>
        <vertAlign val="superscript"/>
        <sz val="11"/>
        <rFont val="Arial"/>
        <family val="2"/>
        <charset val="238"/>
      </rPr>
      <t xml:space="preserve"> 2*)</t>
    </r>
  </si>
  <si>
    <r>
      <t xml:space="preserve">Příspěvek </t>
    </r>
    <r>
      <rPr>
        <b/>
        <vertAlign val="superscript"/>
        <sz val="11"/>
        <rFont val="Arial"/>
        <family val="2"/>
        <charset val="238"/>
      </rPr>
      <t>1*</t>
    </r>
    <r>
      <rPr>
        <b/>
        <sz val="11"/>
        <rFont val="Arial"/>
        <family val="2"/>
        <charset val="238"/>
      </rPr>
      <t>)</t>
    </r>
  </si>
  <si>
    <r>
      <t xml:space="preserve">Dotace </t>
    </r>
    <r>
      <rPr>
        <b/>
        <vertAlign val="superscript"/>
        <sz val="11"/>
        <rFont val="Arial"/>
        <family val="2"/>
        <charset val="238"/>
      </rPr>
      <t>1*)</t>
    </r>
  </si>
  <si>
    <t>v tom</t>
  </si>
  <si>
    <t>Celkem příspěvek + dotace</t>
  </si>
  <si>
    <t>Výdaje na EDS/SMVS (sekce I)</t>
  </si>
  <si>
    <t>Výdaje na činnost VŠ</t>
  </si>
  <si>
    <t xml:space="preserve">1*) </t>
  </si>
  <si>
    <t xml:space="preserve">2*) </t>
  </si>
  <si>
    <t>Univerzita obrany</t>
  </si>
  <si>
    <t>Ukazatel U2 - dotace na ubytovací stipendia SVŠ</t>
  </si>
  <si>
    <t>Ukazatel S2 - dotace na sociální stipendia SVŠ</t>
  </si>
  <si>
    <t>Studia v cizím jazyce</t>
  </si>
  <si>
    <t>Ukazatel I</t>
  </si>
  <si>
    <t>Kód fakulty</t>
  </si>
  <si>
    <t>Fond umělecké činnosti (FUČ)</t>
  </si>
  <si>
    <t>Fond umělecké činnosti</t>
  </si>
  <si>
    <t>Seznam tabulek:</t>
  </si>
  <si>
    <t>Výkonová část - segment 1</t>
  </si>
  <si>
    <t>Výkonová část - segment 2</t>
  </si>
  <si>
    <t>Výkonová část - segment 3</t>
  </si>
  <si>
    <t>Výkonová část - segment 4</t>
  </si>
  <si>
    <t>2a</t>
  </si>
  <si>
    <t>2b</t>
  </si>
  <si>
    <t>2c</t>
  </si>
  <si>
    <t>2d</t>
  </si>
  <si>
    <t>3a</t>
  </si>
  <si>
    <t>3b</t>
  </si>
  <si>
    <t>Rozpočtový okruh I</t>
  </si>
  <si>
    <t>Ukazatel P - Lékařské fakulty</t>
  </si>
  <si>
    <t>Ukazatel P - společenské priority - lékařské fakulty</t>
  </si>
  <si>
    <t>1. lékařská fakulta</t>
  </si>
  <si>
    <t>3. lékařská fakulta</t>
  </si>
  <si>
    <t>2. lékařská fakulta</t>
  </si>
  <si>
    <t>Lékařská fakulta v Plzni</t>
  </si>
  <si>
    <t>Lékařská fakulta v Hradci Králové</t>
  </si>
  <si>
    <t>Lékařská fakulta</t>
  </si>
  <si>
    <t>Dílčí indikátor</t>
  </si>
  <si>
    <t>Váha</t>
  </si>
  <si>
    <t>Přepočtený počet doc a prof</t>
  </si>
  <si>
    <t>Rozpočtová absolvovaná studia</t>
  </si>
  <si>
    <t>Přepočtená studia na 1 akademického pracovníka</t>
  </si>
  <si>
    <t>VVŠ</t>
  </si>
  <si>
    <t>Název Fakulty</t>
  </si>
  <si>
    <t>Celkový podíl</t>
  </si>
  <si>
    <t>1300</t>
  </si>
  <si>
    <t>Fakulta umění a designu</t>
  </si>
  <si>
    <t>1700</t>
  </si>
  <si>
    <t>Fakulta umění</t>
  </si>
  <si>
    <t>2100</t>
  </si>
  <si>
    <t>Fakulta architektury</t>
  </si>
  <si>
    <t>2300</t>
  </si>
  <si>
    <t>Fakulta designu a umění Ladislava Sutnara</t>
  </si>
  <si>
    <t>2400</t>
  </si>
  <si>
    <t>Fakulta umění a architektury</t>
  </si>
  <si>
    <t>2500</t>
  </si>
  <si>
    <t>Fakulta restaurování</t>
  </si>
  <si>
    <t>2600</t>
  </si>
  <si>
    <t>Fakulta výtvarných umění</t>
  </si>
  <si>
    <t>2800</t>
  </si>
  <si>
    <t>Fakulta multimediálních komunikací</t>
  </si>
  <si>
    <t>5100</t>
  </si>
  <si>
    <t>Hudební a taneční fakulta</t>
  </si>
  <si>
    <t>Divadelní fakulta</t>
  </si>
  <si>
    <t>Filmová a televizní fakulta</t>
  </si>
  <si>
    <t>5200</t>
  </si>
  <si>
    <t>Celoškolská pracoviště (studium mimo fakulty)</t>
  </si>
  <si>
    <t>5300</t>
  </si>
  <si>
    <t>5400</t>
  </si>
  <si>
    <t>Hudební fakulta</t>
  </si>
  <si>
    <t>Počet studentů           se SP</t>
  </si>
  <si>
    <t>Seznam</t>
  </si>
  <si>
    <t>Rozpočtová výše dotace pro SVŠ (Kč)</t>
  </si>
  <si>
    <t>Uplatněný nárok</t>
  </si>
  <si>
    <t>Členění rozpisu rozpočtu (vč. výdajů na EDS/SMVS a výdajů na mezinárodní spolupráci) z pohledu struktury výdajů státní pokladny</t>
  </si>
  <si>
    <t>Výdaje na mezinárodní spolupráci (sekce IV)</t>
  </si>
  <si>
    <t>Krácení finančních prostředků</t>
  </si>
  <si>
    <t>Veterinární univerzita Brno</t>
  </si>
  <si>
    <t>Maximální výše ročního příspěvku</t>
  </si>
  <si>
    <t>Podpora ukrajinských studentů</t>
  </si>
  <si>
    <t>Janáčkova akademie múzických umění</t>
  </si>
  <si>
    <t>Janáčkova akademie múzických umění v Brně</t>
  </si>
  <si>
    <t>VETUNI</t>
  </si>
  <si>
    <t>Příspěvek na studium SSP</t>
  </si>
  <si>
    <t>Příspěvek na U3V</t>
  </si>
  <si>
    <t>PPRO - Příprava implementace reformy DS, Strategie řízení LZ</t>
  </si>
  <si>
    <t>Ukazatel P - VETUNI</t>
  </si>
  <si>
    <t>Rozpočet 2025</t>
  </si>
  <si>
    <t>Ukazatel R - Regionalita</t>
  </si>
  <si>
    <t>Podpora NLZSP</t>
  </si>
  <si>
    <t>Podpora pedagogických SP</t>
  </si>
  <si>
    <t>CIKS</t>
  </si>
  <si>
    <t>Ukazatel P - společenské priority - VETUNI</t>
  </si>
  <si>
    <t>Celkem VVŠ</t>
  </si>
  <si>
    <t>vč. krácení dle čl. 10 odst. 5 a 6 Pravidel</t>
  </si>
  <si>
    <t>Program podpory rozvoje oblasti VŠ (PPRO)</t>
  </si>
  <si>
    <t>Bude upřesněno v průběhu roku podle povahy schválených výdajů</t>
  </si>
  <si>
    <t>Rezerva na navýš. RO I dle čl. 9 odst. 3 a 4 Pravidel pro rok 2025</t>
  </si>
  <si>
    <t>PPSŘ</t>
  </si>
  <si>
    <t>Program podpory expertních kapacit pro rozvoj výuky na VŠ (2025-2027)</t>
  </si>
  <si>
    <t>Usnesení vlády č. 672/2025 (ČVUT)</t>
  </si>
  <si>
    <t>% podíl z celku</t>
  </si>
  <si>
    <t xml:space="preserve">% podíl z celku </t>
  </si>
  <si>
    <t xml:space="preserve">Meziroční vývoj 
</t>
  </si>
  <si>
    <t>Bilance zdrojů pro rozdělení příspěvku a dotací vysokým školám v roce 2026</t>
  </si>
  <si>
    <t>Rozpočet 2026</t>
  </si>
  <si>
    <t>Podpora psychologických SP</t>
  </si>
  <si>
    <t>Soukromé VŠ (VŠZ, o.p.s.)</t>
  </si>
  <si>
    <t>Rezerva na kompenzaci zrušení ukazatele R</t>
  </si>
  <si>
    <t>p</t>
  </si>
  <si>
    <t>NAÚ</t>
  </si>
  <si>
    <t>Vychází z výše minimální mzdy od roku 2026</t>
  </si>
  <si>
    <t>Rozpis rozpočtu vysokých škol na rok 2026</t>
  </si>
  <si>
    <t>Finanční alokace na rok 2026</t>
  </si>
  <si>
    <t>Vyčleněná částka na lékařské fakulty pro rok 2026</t>
  </si>
  <si>
    <t xml:space="preserve">                 v tom  VETUNI</t>
  </si>
  <si>
    <t xml:space="preserve">                 v tom učitelské, speciálně pedagogické a psychologické SP</t>
  </si>
  <si>
    <t xml:space="preserve"> v tom NLZSP</t>
  </si>
  <si>
    <t>Stipendia pro studenty doktorských studijních programů v roce 2026</t>
  </si>
  <si>
    <t>Výše prostředků na stipendia pro studenty doktorských SP na rok 2026</t>
  </si>
  <si>
    <t>9a</t>
  </si>
  <si>
    <t>9b</t>
  </si>
  <si>
    <t>Počet studentů s nárokem na ubytovací stip. k 31. 10. 2025</t>
  </si>
  <si>
    <t>Fond umělecké činnosti pro rok 2026</t>
  </si>
  <si>
    <t>Částka vyčleněná  na ukazatel FUČ pro rok 2026</t>
  </si>
  <si>
    <t>Podpora financování nákladů souvisejících se vzděláváním seniorů prostřednictvím tzv. Univerzit třetího věku v roce 2026</t>
  </si>
  <si>
    <r>
      <rPr>
        <b/>
        <sz val="10"/>
        <color indexed="8"/>
        <rFont val="Calibri"/>
        <family val="2"/>
        <charset val="238"/>
      </rPr>
      <t>V roce 2025</t>
    </r>
    <r>
      <rPr>
        <sz val="10"/>
        <color indexed="8"/>
        <rFont val="Calibri"/>
        <family val="2"/>
        <charset val="238"/>
      </rPr>
      <t xml:space="preserve"> byly uplatněné </t>
    </r>
    <r>
      <rPr>
        <b/>
        <sz val="10"/>
        <color indexed="8"/>
        <rFont val="Calibri"/>
        <family val="2"/>
        <charset val="238"/>
      </rPr>
      <t xml:space="preserve">nároky vykryty ve výši </t>
    </r>
  </si>
  <si>
    <t>Podpora financování zvýšených nákladů souvisejících se studiem studentů se specifickými potřebami v roce 2026</t>
  </si>
  <si>
    <t>Program na podporu strategického řízení VŠ pro rok 2026</t>
  </si>
  <si>
    <t>Program podpory expertních kapacit pro rozvoj výuky na VŠ pro rok 2026</t>
  </si>
  <si>
    <t>NLZSP</t>
  </si>
  <si>
    <t>U3V</t>
  </si>
  <si>
    <t>SSP</t>
  </si>
  <si>
    <t>3c</t>
  </si>
  <si>
    <t>Ukazatel P - NLZSP</t>
  </si>
  <si>
    <t>Ukazatel P - společenské priority - NLZSP</t>
  </si>
  <si>
    <t>Celkové výdaje programu na rok 2026</t>
  </si>
  <si>
    <t>Prostředky na činnost 2025/normativní počet studií 31. 10. 2024</t>
  </si>
  <si>
    <t>KEN NLZSP</t>
  </si>
  <si>
    <t>Normativ x KEN</t>
  </si>
  <si>
    <t>Výdaje na 1 nového studenta na rok 2026 (X)*</t>
  </si>
  <si>
    <t>Dodatečné výdaje na 1 stávajícího studenta na rok 2026</t>
  </si>
  <si>
    <t>Výchozí hodnota 1.r - vážený průměr 2022-24</t>
  </si>
  <si>
    <t>Počty v 1. ročnících -                k 31. 10. 2024</t>
  </si>
  <si>
    <t>Navýšení 20 %</t>
  </si>
  <si>
    <t>Počty v 1. ročnících po navýšení - Cílová hodnota programu</t>
  </si>
  <si>
    <t>Počty v 1. ročnících -             k 31. 10. 2025</t>
  </si>
  <si>
    <t>Počty v 2+ ročnících -             k 31. 10. 2025</t>
  </si>
  <si>
    <t>Výpočet podpory (v Kč)</t>
  </si>
  <si>
    <t>na navýšené studenty</t>
  </si>
  <si>
    <t>na ostatní studenty</t>
  </si>
  <si>
    <t>a</t>
  </si>
  <si>
    <t>b</t>
  </si>
  <si>
    <t>c</t>
  </si>
  <si>
    <t>d</t>
  </si>
  <si>
    <t>e</t>
  </si>
  <si>
    <t>f</t>
  </si>
  <si>
    <t>g = c x 198 079</t>
  </si>
  <si>
    <t>h = (e+f-c )x rozdíl</t>
  </si>
  <si>
    <t>i = g + h</t>
  </si>
  <si>
    <t>* Výdaje na 1 nového studenta pro rok 2026             (550 x X) + (e+f-c)x(X-159 083) = 394 000 000</t>
  </si>
  <si>
    <t>Výkonová část RO I - 2026 - Segment 1</t>
  </si>
  <si>
    <t>Výkonová část RO I - 2026 - Segment 2</t>
  </si>
  <si>
    <t>Výkonová část RO I - 2026 - Segment 3</t>
  </si>
  <si>
    <t>Výkonová část RO I - 2026 - Segment 4</t>
  </si>
  <si>
    <t>Rozpočtový okruh I, institucionální část rozpočtu - celkový výpočet na rok 2026</t>
  </si>
  <si>
    <t>Ubytovací stipendium v roce 2026</t>
  </si>
  <si>
    <t xml:space="preserve">SSP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</si>
</sst>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6" formatCode="#,##0\ &quot;Kč&quot;;[Red]\-#,##0\ &quot;Kč&quot;"/>
    <numFmt numFmtId="8" formatCode="#,##0.00\ &quot;Kč&quot;;[Red]\-#,##0.00\ &quot;Kč&quot;"/>
    <numFmt numFmtId="43" formatCode="_-* #,##0.00_-;\-* #,##0.00_-;_-* &quot;-&quot;??_-;_-@_-"/>
    <numFmt numFmtId="164" formatCode="_-* #,##0.00\ _K_č_-;\-* #,##0.00\ _K_č_-;_-* &quot;-&quot;??\ _K_č_-;_-@_-"/>
    <numFmt numFmtId="165" formatCode="0.000%"/>
    <numFmt numFmtId="166" formatCode="0.0%"/>
    <numFmt numFmtId="167" formatCode="#,##0\ &quot;Kč&quot;"/>
    <numFmt numFmtId="168" formatCode="#,##0.00\ &quot;Kč&quot;"/>
    <numFmt numFmtId="169" formatCode="0.0"/>
    <numFmt numFmtId="170" formatCode="#,##0.00_ ;[Red]\-#,##0.00\ "/>
    <numFmt numFmtId="171" formatCode="_-* #,##0\ [$Kč-405]_-;\-* #,##0\ [$Kč-405]_-;_-* &quot;-&quot;??\ [$Kč-405]_-;_-@_-"/>
    <numFmt numFmtId="172" formatCode="#,##0.000"/>
    <numFmt numFmtId="173" formatCode="#,##0.0000000000000"/>
    <numFmt numFmtId="174" formatCode="0.00000000000"/>
    <numFmt numFmtId="175" formatCode="0.0000000"/>
    <numFmt numFmtId="176" formatCode="0.000"/>
    <numFmt numFmtId="177" formatCode="0.0000000000000%"/>
  </numFmts>
  <fonts count="5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22"/>
      <name val="Calibri"/>
      <family val="2"/>
      <charset val="238"/>
      <scheme val="minor"/>
    </font>
    <font>
      <sz val="13.5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Times New Roman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 CE"/>
      <charset val="238"/>
    </font>
    <font>
      <i/>
      <sz val="11"/>
      <name val="Arial"/>
      <family val="2"/>
      <charset val="238"/>
    </font>
    <font>
      <b/>
      <i/>
      <sz val="11"/>
      <color rgb="FF808080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i/>
      <sz val="11"/>
      <color rgb="FFFF0000"/>
      <name val="Arial"/>
      <family val="2"/>
      <charset val="238"/>
    </font>
    <font>
      <b/>
      <i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2"/>
      <name val="Arial"/>
      <family val="2"/>
      <charset val="238"/>
    </font>
    <font>
      <i/>
      <sz val="12"/>
      <color rgb="FF808080"/>
      <name val="Arial"/>
      <family val="2"/>
      <charset val="238"/>
    </font>
    <font>
      <b/>
      <i/>
      <sz val="12"/>
      <color rgb="FF80808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i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sz val="15"/>
      <name val="Arial"/>
      <family val="2"/>
      <charset val="238"/>
    </font>
    <font>
      <b/>
      <sz val="16"/>
      <name val="Arial"/>
      <family val="2"/>
      <charset val="238"/>
    </font>
    <font>
      <b/>
      <sz val="20"/>
      <name val="Arial"/>
      <family val="2"/>
      <charset val="238"/>
    </font>
    <font>
      <sz val="10"/>
      <color theme="1"/>
      <name val="Arial"/>
      <family val="2"/>
      <charset val="238"/>
    </font>
    <font>
      <b/>
      <sz val="22"/>
      <color indexed="8"/>
      <name val="Arial"/>
      <family val="2"/>
      <charset val="238"/>
    </font>
    <font>
      <b/>
      <sz val="18"/>
      <color indexed="8"/>
      <name val="Arial"/>
      <family val="2"/>
      <charset val="238"/>
    </font>
    <font>
      <b/>
      <sz val="16"/>
      <color indexed="8"/>
      <name val="Arial"/>
      <family val="2"/>
      <charset val="238"/>
    </font>
    <font>
      <b/>
      <sz val="15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2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b/>
      <sz val="22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22"/>
      <name val="Arial"/>
      <family val="2"/>
      <charset val="238"/>
    </font>
    <font>
      <u/>
      <sz val="11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vertAlign val="superscript"/>
      <sz val="14"/>
      <name val="Arial"/>
      <family val="2"/>
      <charset val="238"/>
    </font>
    <font>
      <sz val="11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9" tint="-0.499984740745262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theme="9" tint="-0.499984740745262"/>
      </left>
      <right style="medium">
        <color theme="9" tint="-0.499984740745262"/>
      </right>
      <top/>
      <bottom/>
      <diagonal/>
    </border>
    <border>
      <left style="medium">
        <color theme="9" tint="-0.499984740745262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theme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/>
      <bottom style="medium">
        <color indexed="64"/>
      </bottom>
      <diagonal/>
    </border>
    <border>
      <left style="medium">
        <color theme="9" tint="-0.499984740745262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theme="1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theme="9" tint="-0.499984740745262"/>
      </left>
      <right style="medium">
        <color theme="9" tint="-0.499984740745262"/>
      </right>
      <top style="thin">
        <color indexed="64"/>
      </top>
      <bottom/>
      <diagonal/>
    </border>
    <border>
      <left style="medium">
        <color indexed="64"/>
      </left>
      <right style="medium">
        <color theme="1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/>
      <bottom style="thin">
        <color indexed="64"/>
      </bottom>
      <diagonal/>
    </border>
    <border>
      <left style="medium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theme="9" tint="-0.499984740745262"/>
      </right>
      <top style="medium">
        <color indexed="64"/>
      </top>
      <bottom style="medium">
        <color indexed="64"/>
      </bottom>
      <diagonal/>
    </border>
    <border>
      <left/>
      <right style="medium">
        <color theme="9" tint="-0.499984740745262"/>
      </right>
      <top style="medium">
        <color indexed="64"/>
      </top>
      <bottom style="thin">
        <color indexed="64"/>
      </bottom>
      <diagonal/>
    </border>
    <border>
      <left/>
      <right style="medium">
        <color theme="9" tint="-0.499984740745262"/>
      </right>
      <top/>
      <bottom style="thin">
        <color indexed="64"/>
      </bottom>
      <diagonal/>
    </border>
    <border>
      <left/>
      <right style="medium">
        <color theme="9" tint="-0.499984740745262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0" fontId="2" fillId="0" borderId="0" applyFont="0"/>
    <xf numFmtId="0" fontId="4" fillId="0" borderId="0"/>
    <xf numFmtId="0" fontId="4" fillId="0" borderId="0"/>
    <xf numFmtId="0" fontId="1" fillId="0" borderId="0"/>
    <xf numFmtId="0" fontId="4" fillId="0" borderId="0"/>
    <xf numFmtId="9" fontId="1" fillId="0" borderId="0" applyFont="0" applyFill="0" applyBorder="0" applyAlignment="0" applyProtection="0"/>
    <xf numFmtId="0" fontId="1" fillId="0" borderId="0"/>
    <xf numFmtId="0" fontId="11" fillId="0" borderId="0" applyNumberFormat="0" applyFill="0" applyBorder="0" applyAlignment="0" applyProtection="0"/>
    <xf numFmtId="0" fontId="13" fillId="0" borderId="0"/>
    <xf numFmtId="0" fontId="16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76">
    <xf numFmtId="0" fontId="0" fillId="0" borderId="0" xfId="0"/>
    <xf numFmtId="3" fontId="8" fillId="0" borderId="17" xfId="8" applyNumberFormat="1" applyFont="1" applyBorder="1" applyAlignment="1">
      <alignment horizontal="right" vertical="center" indent="1"/>
    </xf>
    <xf numFmtId="3" fontId="8" fillId="0" borderId="18" xfId="8" applyNumberFormat="1" applyFont="1" applyBorder="1" applyAlignment="1">
      <alignment horizontal="right" vertical="center" indent="1"/>
    </xf>
    <xf numFmtId="10" fontId="6" fillId="0" borderId="20" xfId="7" applyNumberFormat="1" applyFont="1" applyFill="1" applyBorder="1" applyAlignment="1">
      <alignment horizontal="right" vertical="center" indent="1"/>
    </xf>
    <xf numFmtId="3" fontId="8" fillId="0" borderId="14" xfId="8" applyNumberFormat="1" applyFont="1" applyBorder="1" applyAlignment="1">
      <alignment horizontal="right" vertical="center" indent="1"/>
    </xf>
    <xf numFmtId="3" fontId="8" fillId="0" borderId="21" xfId="8" applyNumberFormat="1" applyFont="1" applyBorder="1" applyAlignment="1">
      <alignment horizontal="right" vertical="center" indent="1"/>
    </xf>
    <xf numFmtId="3" fontId="8" fillId="0" borderId="34" xfId="8" applyNumberFormat="1" applyFont="1" applyBorder="1" applyAlignment="1">
      <alignment horizontal="right" vertical="center" indent="1"/>
    </xf>
    <xf numFmtId="3" fontId="8" fillId="0" borderId="35" xfId="8" applyNumberFormat="1" applyFont="1" applyBorder="1" applyAlignment="1">
      <alignment horizontal="right" vertical="center" indent="1"/>
    </xf>
    <xf numFmtId="10" fontId="7" fillId="0" borderId="1" xfId="8" applyNumberFormat="1" applyFont="1" applyBorder="1" applyAlignment="1">
      <alignment horizontal="right" vertical="center" indent="1"/>
    </xf>
    <xf numFmtId="3" fontId="7" fillId="0" borderId="2" xfId="8" applyNumberFormat="1" applyFont="1" applyBorder="1" applyAlignment="1">
      <alignment horizontal="right" vertical="center" indent="1"/>
    </xf>
    <xf numFmtId="3" fontId="7" fillId="0" borderId="3" xfId="8" applyNumberFormat="1" applyFont="1" applyBorder="1" applyAlignment="1">
      <alignment horizontal="right" vertical="center" indent="1"/>
    </xf>
    <xf numFmtId="3" fontId="0" fillId="0" borderId="0" xfId="0" applyNumberFormat="1"/>
    <xf numFmtId="0" fontId="3" fillId="0" borderId="0" xfId="8" applyFont="1"/>
    <xf numFmtId="0" fontId="8" fillId="0" borderId="0" xfId="8" applyFont="1"/>
    <xf numFmtId="0" fontId="9" fillId="0" borderId="0" xfId="8" applyFont="1"/>
    <xf numFmtId="0" fontId="1" fillId="0" borderId="0" xfId="8"/>
    <xf numFmtId="0" fontId="7" fillId="0" borderId="0" xfId="8" applyFont="1"/>
    <xf numFmtId="3" fontId="7" fillId="0" borderId="0" xfId="8" applyNumberFormat="1" applyFont="1"/>
    <xf numFmtId="0" fontId="1" fillId="0" borderId="0" xfId="8" applyAlignment="1">
      <alignment horizontal="right"/>
    </xf>
    <xf numFmtId="10" fontId="6" fillId="0" borderId="16" xfId="7" applyNumberFormat="1" applyFont="1" applyFill="1" applyBorder="1" applyAlignment="1">
      <alignment horizontal="right" vertical="center" indent="1"/>
    </xf>
    <xf numFmtId="10" fontId="7" fillId="0" borderId="41" xfId="8" applyNumberFormat="1" applyFont="1" applyBorder="1" applyAlignment="1">
      <alignment horizontal="right" vertical="center" indent="1"/>
    </xf>
    <xf numFmtId="0" fontId="10" fillId="0" borderId="0" xfId="8" applyFont="1"/>
    <xf numFmtId="3" fontId="1" fillId="0" borderId="0" xfId="8" applyNumberFormat="1"/>
    <xf numFmtId="165" fontId="7" fillId="0" borderId="0" xfId="1" applyNumberFormat="1" applyFont="1"/>
    <xf numFmtId="165" fontId="7" fillId="0" borderId="0" xfId="1" applyNumberFormat="1" applyFont="1" applyBorder="1"/>
    <xf numFmtId="0" fontId="8" fillId="0" borderId="20" xfId="8" applyFont="1" applyBorder="1" applyAlignment="1">
      <alignment horizontal="center" vertical="center"/>
    </xf>
    <xf numFmtId="0" fontId="8" fillId="0" borderId="43" xfId="8" applyFont="1" applyBorder="1" applyAlignment="1">
      <alignment horizontal="center" vertical="center"/>
    </xf>
    <xf numFmtId="10" fontId="6" fillId="0" borderId="44" xfId="7" applyNumberFormat="1" applyFont="1" applyFill="1" applyBorder="1" applyAlignment="1">
      <alignment horizontal="right" vertical="center" indent="1"/>
    </xf>
    <xf numFmtId="0" fontId="8" fillId="0" borderId="12" xfId="5" applyFont="1" applyBorder="1" applyAlignment="1">
      <alignment horizontal="left" vertical="center" wrapText="1" indent="1"/>
    </xf>
    <xf numFmtId="0" fontId="8" fillId="0" borderId="19" xfId="5" applyFont="1" applyBorder="1" applyAlignment="1">
      <alignment horizontal="left" vertical="center" wrapText="1" indent="1"/>
    </xf>
    <xf numFmtId="10" fontId="8" fillId="0" borderId="43" xfId="8" applyNumberFormat="1" applyFont="1" applyBorder="1" applyAlignment="1">
      <alignment horizontal="right" vertical="center" indent="1"/>
    </xf>
    <xf numFmtId="10" fontId="8" fillId="0" borderId="20" xfId="8" applyNumberFormat="1" applyFont="1" applyBorder="1" applyAlignment="1">
      <alignment horizontal="right" vertical="center" indent="1"/>
    </xf>
    <xf numFmtId="0" fontId="8" fillId="0" borderId="33" xfId="8" applyFont="1" applyBorder="1" applyAlignment="1">
      <alignment horizontal="center" vertical="center"/>
    </xf>
    <xf numFmtId="0" fontId="8" fillId="0" borderId="37" xfId="5" applyFont="1" applyBorder="1" applyAlignment="1">
      <alignment horizontal="left" vertical="center" wrapText="1" indent="1"/>
    </xf>
    <xf numFmtId="10" fontId="6" fillId="0" borderId="36" xfId="7" applyNumberFormat="1" applyFont="1" applyFill="1" applyBorder="1" applyAlignment="1">
      <alignment horizontal="right" vertical="center" indent="1"/>
    </xf>
    <xf numFmtId="0" fontId="11" fillId="0" borderId="0" xfId="9"/>
    <xf numFmtId="0" fontId="0" fillId="0" borderId="0" xfId="0" applyAlignment="1">
      <alignment horizontal="right"/>
    </xf>
    <xf numFmtId="0" fontId="5" fillId="6" borderId="0" xfId="10" applyFont="1" applyFill="1" applyAlignment="1">
      <alignment horizontal="left" vertical="center"/>
    </xf>
    <xf numFmtId="0" fontId="5" fillId="6" borderId="0" xfId="10" applyFont="1" applyFill="1" applyAlignment="1">
      <alignment vertical="center"/>
    </xf>
    <xf numFmtId="0" fontId="6" fillId="6" borderId="0" xfId="10" applyFont="1" applyFill="1" applyAlignment="1">
      <alignment vertical="center"/>
    </xf>
    <xf numFmtId="166" fontId="6" fillId="6" borderId="0" xfId="10" applyNumberFormat="1" applyFont="1" applyFill="1" applyAlignment="1">
      <alignment vertical="center"/>
    </xf>
    <xf numFmtId="0" fontId="6" fillId="6" borderId="0" xfId="10" applyFont="1" applyFill="1" applyAlignment="1">
      <alignment horizontal="right" vertical="center"/>
    </xf>
    <xf numFmtId="0" fontId="0" fillId="6" borderId="0" xfId="0" applyFill="1"/>
    <xf numFmtId="0" fontId="14" fillId="0" borderId="2" xfId="10" applyFont="1" applyBorder="1" applyAlignment="1">
      <alignment horizontal="center" vertical="center" wrapText="1"/>
    </xf>
    <xf numFmtId="0" fontId="14" fillId="7" borderId="2" xfId="10" applyFont="1" applyFill="1" applyBorder="1" applyAlignment="1">
      <alignment horizontal="center" vertical="center" wrapText="1"/>
    </xf>
    <xf numFmtId="0" fontId="15" fillId="6" borderId="6" xfId="10" applyFont="1" applyFill="1" applyBorder="1" applyAlignment="1">
      <alignment horizontal="center" vertical="center" wrapText="1"/>
    </xf>
    <xf numFmtId="6" fontId="5" fillId="6" borderId="14" xfId="10" applyNumberFormat="1" applyFont="1" applyFill="1" applyBorder="1" applyAlignment="1">
      <alignment horizontal="center" vertical="center"/>
    </xf>
    <xf numFmtId="167" fontId="5" fillId="7" borderId="11" xfId="10" applyNumberFormat="1" applyFont="1" applyFill="1" applyBorder="1" applyAlignment="1">
      <alignment horizontal="center" vertical="center"/>
    </xf>
    <xf numFmtId="10" fontId="6" fillId="6" borderId="15" xfId="10" applyNumberFormat="1" applyFont="1" applyFill="1" applyBorder="1" applyAlignment="1">
      <alignment horizontal="center" vertical="center"/>
    </xf>
    <xf numFmtId="3" fontId="5" fillId="0" borderId="17" xfId="10" applyNumberFormat="1" applyFont="1" applyBorder="1" applyAlignment="1">
      <alignment horizontal="center" vertical="center"/>
    </xf>
    <xf numFmtId="10" fontId="6" fillId="6" borderId="19" xfId="10" applyNumberFormat="1" applyFont="1" applyFill="1" applyBorder="1" applyAlignment="1">
      <alignment horizontal="center" vertical="center"/>
    </xf>
    <xf numFmtId="167" fontId="5" fillId="7" borderId="21" xfId="10" applyNumberFormat="1" applyFont="1" applyFill="1" applyBorder="1" applyAlignment="1">
      <alignment horizontal="center" vertical="center"/>
    </xf>
    <xf numFmtId="3" fontId="5" fillId="0" borderId="23" xfId="10" applyNumberFormat="1" applyFont="1" applyBorder="1" applyAlignment="1">
      <alignment horizontal="center" vertical="center"/>
    </xf>
    <xf numFmtId="10" fontId="0" fillId="6" borderId="0" xfId="1" applyNumberFormat="1" applyFont="1" applyFill="1"/>
    <xf numFmtId="8" fontId="5" fillId="6" borderId="23" xfId="10" applyNumberFormat="1" applyFont="1" applyFill="1" applyBorder="1" applyAlignment="1">
      <alignment horizontal="center" vertical="center"/>
    </xf>
    <xf numFmtId="168" fontId="5" fillId="7" borderId="24" xfId="10" applyNumberFormat="1" applyFont="1" applyFill="1" applyBorder="1" applyAlignment="1">
      <alignment horizontal="center" vertical="center"/>
    </xf>
    <xf numFmtId="10" fontId="6" fillId="6" borderId="26" xfId="10" applyNumberFormat="1" applyFont="1" applyFill="1" applyBorder="1" applyAlignment="1">
      <alignment horizontal="center" vertical="center"/>
    </xf>
    <xf numFmtId="0" fontId="5" fillId="6" borderId="0" xfId="10" applyFont="1" applyFill="1" applyAlignment="1">
      <alignment horizontal="left" vertical="center" wrapText="1"/>
    </xf>
    <xf numFmtId="0" fontId="17" fillId="6" borderId="61" xfId="10" applyFont="1" applyFill="1" applyBorder="1" applyAlignment="1">
      <alignment vertical="center"/>
    </xf>
    <xf numFmtId="0" fontId="17" fillId="6" borderId="0" xfId="10" applyFont="1" applyFill="1" applyAlignment="1">
      <alignment vertical="center"/>
    </xf>
    <xf numFmtId="0" fontId="19" fillId="6" borderId="0" xfId="10" applyFont="1" applyFill="1" applyAlignment="1">
      <alignment vertical="center"/>
    </xf>
    <xf numFmtId="10" fontId="20" fillId="6" borderId="0" xfId="10" applyNumberFormat="1" applyFont="1" applyFill="1" applyAlignment="1">
      <alignment horizontal="center" vertical="center"/>
    </xf>
    <xf numFmtId="0" fontId="22" fillId="6" borderId="0" xfId="10" applyFont="1" applyFill="1" applyAlignment="1">
      <alignment vertical="center"/>
    </xf>
    <xf numFmtId="0" fontId="17" fillId="6" borderId="13" xfId="10" applyFont="1" applyFill="1" applyBorder="1" applyAlignment="1">
      <alignment vertical="center"/>
    </xf>
    <xf numFmtId="0" fontId="17" fillId="6" borderId="10" xfId="10" applyFont="1" applyFill="1" applyBorder="1" applyAlignment="1">
      <alignment vertical="center"/>
    </xf>
    <xf numFmtId="166" fontId="20" fillId="6" borderId="58" xfId="10" applyNumberFormat="1" applyFont="1" applyFill="1" applyBorder="1" applyAlignment="1">
      <alignment vertical="center"/>
    </xf>
    <xf numFmtId="3" fontId="8" fillId="8" borderId="74" xfId="10" applyNumberFormat="1" applyFont="1" applyFill="1" applyBorder="1" applyAlignment="1">
      <alignment vertical="center"/>
    </xf>
    <xf numFmtId="166" fontId="20" fillId="6" borderId="6" xfId="10" applyNumberFormat="1" applyFont="1" applyFill="1" applyBorder="1" applyAlignment="1">
      <alignment vertical="center"/>
    </xf>
    <xf numFmtId="3" fontId="8" fillId="7" borderId="75" xfId="10" applyNumberFormat="1" applyFont="1" applyFill="1" applyBorder="1" applyAlignment="1">
      <alignment vertical="center"/>
    </xf>
    <xf numFmtId="0" fontId="17" fillId="6" borderId="33" xfId="10" applyFont="1" applyFill="1" applyBorder="1" applyAlignment="1">
      <alignment vertical="center"/>
    </xf>
    <xf numFmtId="0" fontId="17" fillId="6" borderId="34" xfId="10" applyFont="1" applyFill="1" applyBorder="1" applyAlignment="1">
      <alignment vertical="center" wrapText="1"/>
    </xf>
    <xf numFmtId="166" fontId="20" fillId="6" borderId="36" xfId="10" applyNumberFormat="1" applyFont="1" applyFill="1" applyBorder="1" applyAlignment="1">
      <alignment vertical="center"/>
    </xf>
    <xf numFmtId="3" fontId="8" fillId="8" borderId="77" xfId="10" applyNumberFormat="1" applyFont="1" applyFill="1" applyBorder="1" applyAlignment="1">
      <alignment vertical="center"/>
    </xf>
    <xf numFmtId="166" fontId="20" fillId="6" borderId="37" xfId="10" applyNumberFormat="1" applyFont="1" applyFill="1" applyBorder="1" applyAlignment="1">
      <alignment horizontal="right" vertical="center"/>
    </xf>
    <xf numFmtId="3" fontId="8" fillId="7" borderId="78" xfId="10" applyNumberFormat="1" applyFont="1" applyFill="1" applyBorder="1" applyAlignment="1">
      <alignment vertical="center"/>
    </xf>
    <xf numFmtId="0" fontId="17" fillId="6" borderId="22" xfId="10" applyFont="1" applyFill="1" applyBorder="1" applyAlignment="1">
      <alignment vertical="center"/>
    </xf>
    <xf numFmtId="0" fontId="17" fillId="6" borderId="23" xfId="10" applyFont="1" applyFill="1" applyBorder="1" applyAlignment="1">
      <alignment vertical="center" wrapText="1"/>
    </xf>
    <xf numFmtId="166" fontId="20" fillId="6" borderId="80" xfId="10" applyNumberFormat="1" applyFont="1" applyFill="1" applyBorder="1" applyAlignment="1">
      <alignment vertical="center"/>
    </xf>
    <xf numFmtId="3" fontId="8" fillId="8" borderId="81" xfId="10" applyNumberFormat="1" applyFont="1" applyFill="1" applyBorder="1" applyAlignment="1">
      <alignment vertical="center"/>
    </xf>
    <xf numFmtId="166" fontId="20" fillId="6" borderId="26" xfId="10" applyNumberFormat="1" applyFont="1" applyFill="1" applyBorder="1" applyAlignment="1">
      <alignment horizontal="right" vertical="center"/>
    </xf>
    <xf numFmtId="3" fontId="8" fillId="7" borderId="82" xfId="10" applyNumberFormat="1" applyFont="1" applyFill="1" applyBorder="1" applyAlignment="1">
      <alignment vertical="center"/>
    </xf>
    <xf numFmtId="0" fontId="24" fillId="6" borderId="38" xfId="10" applyFont="1" applyFill="1" applyBorder="1" applyAlignment="1">
      <alignment vertical="center"/>
    </xf>
    <xf numFmtId="0" fontId="24" fillId="6" borderId="30" xfId="10" applyFont="1" applyFill="1" applyBorder="1" applyAlignment="1">
      <alignment vertical="center" wrapText="1"/>
    </xf>
    <xf numFmtId="166" fontId="25" fillId="6" borderId="29" xfId="10" applyNumberFormat="1" applyFont="1" applyFill="1" applyBorder="1" applyAlignment="1">
      <alignment horizontal="right" vertical="center"/>
    </xf>
    <xf numFmtId="3" fontId="27" fillId="8" borderId="69" xfId="10" applyNumberFormat="1" applyFont="1" applyFill="1" applyBorder="1" applyAlignment="1">
      <alignment horizontal="right" vertical="center"/>
    </xf>
    <xf numFmtId="166" fontId="26" fillId="6" borderId="31" xfId="10" applyNumberFormat="1" applyFont="1" applyFill="1" applyBorder="1" applyAlignment="1">
      <alignment horizontal="right" vertical="center"/>
    </xf>
    <xf numFmtId="3" fontId="27" fillId="7" borderId="71" xfId="10" applyNumberFormat="1" applyFont="1" applyFill="1" applyBorder="1" applyAlignment="1">
      <alignment horizontal="right" vertical="center"/>
    </xf>
    <xf numFmtId="0" fontId="20" fillId="6" borderId="0" xfId="3" applyFont="1" applyFill="1" applyAlignment="1">
      <alignment horizontal="right"/>
    </xf>
    <xf numFmtId="169" fontId="20" fillId="6" borderId="73" xfId="10" applyNumberFormat="1" applyFont="1" applyFill="1" applyBorder="1" applyAlignment="1">
      <alignment horizontal="right" vertical="center"/>
    </xf>
    <xf numFmtId="166" fontId="20" fillId="6" borderId="0" xfId="10" applyNumberFormat="1" applyFont="1" applyFill="1" applyAlignment="1">
      <alignment horizontal="right" vertical="center"/>
    </xf>
    <xf numFmtId="166" fontId="20" fillId="6" borderId="73" xfId="10" applyNumberFormat="1" applyFont="1" applyFill="1" applyBorder="1" applyAlignment="1">
      <alignment horizontal="right" vertical="center"/>
    </xf>
    <xf numFmtId="166" fontId="20" fillId="6" borderId="9" xfId="10" applyNumberFormat="1" applyFont="1" applyFill="1" applyBorder="1" applyAlignment="1">
      <alignment horizontal="right" vertical="center"/>
    </xf>
    <xf numFmtId="3" fontId="8" fillId="8" borderId="74" xfId="10" applyNumberFormat="1" applyFont="1" applyFill="1" applyBorder="1" applyAlignment="1">
      <alignment horizontal="right" vertical="center"/>
    </xf>
    <xf numFmtId="166" fontId="20" fillId="6" borderId="39" xfId="10" applyNumberFormat="1" applyFont="1" applyFill="1" applyBorder="1" applyAlignment="1">
      <alignment horizontal="right" vertical="center"/>
    </xf>
    <xf numFmtId="3" fontId="8" fillId="7" borderId="75" xfId="10" applyNumberFormat="1" applyFont="1" applyFill="1" applyBorder="1" applyAlignment="1">
      <alignment horizontal="right" vertical="center"/>
    </xf>
    <xf numFmtId="0" fontId="17" fillId="6" borderId="20" xfId="10" applyFont="1" applyFill="1" applyBorder="1" applyAlignment="1">
      <alignment vertical="center"/>
    </xf>
    <xf numFmtId="0" fontId="17" fillId="6" borderId="14" xfId="10" applyFont="1" applyFill="1" applyBorder="1" applyAlignment="1">
      <alignment vertical="center"/>
    </xf>
    <xf numFmtId="166" fontId="20" fillId="6" borderId="16" xfId="10" applyNumberFormat="1" applyFont="1" applyFill="1" applyBorder="1" applyAlignment="1">
      <alignment horizontal="right" vertical="center"/>
    </xf>
    <xf numFmtId="3" fontId="8" fillId="8" borderId="83" xfId="10" applyNumberFormat="1" applyFont="1" applyFill="1" applyBorder="1" applyAlignment="1">
      <alignment horizontal="right" vertical="center"/>
    </xf>
    <xf numFmtId="166" fontId="20" fillId="6" borderId="40" xfId="10" applyNumberFormat="1" applyFont="1" applyFill="1" applyBorder="1" applyAlignment="1">
      <alignment horizontal="right" vertical="center"/>
    </xf>
    <xf numFmtId="3" fontId="8" fillId="7" borderId="84" xfId="10" applyNumberFormat="1" applyFont="1" applyFill="1" applyBorder="1" applyAlignment="1">
      <alignment horizontal="right" vertical="center"/>
    </xf>
    <xf numFmtId="0" fontId="17" fillId="6" borderId="23" xfId="10" applyFont="1" applyFill="1" applyBorder="1" applyAlignment="1">
      <alignment vertical="center"/>
    </xf>
    <xf numFmtId="166" fontId="20" fillId="6" borderId="80" xfId="10" applyNumberFormat="1" applyFont="1" applyFill="1" applyBorder="1" applyAlignment="1">
      <alignment horizontal="right" vertical="center"/>
    </xf>
    <xf numFmtId="3" fontId="8" fillId="8" borderId="81" xfId="10" applyNumberFormat="1" applyFont="1" applyFill="1" applyBorder="1" applyAlignment="1">
      <alignment horizontal="right" vertical="center"/>
    </xf>
    <xf numFmtId="166" fontId="20" fillId="6" borderId="25" xfId="10" applyNumberFormat="1" applyFont="1" applyFill="1" applyBorder="1" applyAlignment="1">
      <alignment horizontal="right" vertical="center"/>
    </xf>
    <xf numFmtId="3" fontId="8" fillId="7" borderId="82" xfId="10" applyNumberFormat="1" applyFont="1" applyFill="1" applyBorder="1" applyAlignment="1">
      <alignment horizontal="right" vertical="center"/>
    </xf>
    <xf numFmtId="0" fontId="17" fillId="6" borderId="34" xfId="10" applyFont="1" applyFill="1" applyBorder="1" applyAlignment="1">
      <alignment vertical="center"/>
    </xf>
    <xf numFmtId="166" fontId="20" fillId="6" borderId="19" xfId="10" applyNumberFormat="1" applyFont="1" applyFill="1" applyBorder="1" applyAlignment="1">
      <alignment horizontal="right" vertical="center"/>
    </xf>
    <xf numFmtId="0" fontId="17" fillId="6" borderId="18" xfId="10" applyFont="1" applyFill="1" applyBorder="1" applyAlignment="1">
      <alignment vertical="center"/>
    </xf>
    <xf numFmtId="3" fontId="23" fillId="8" borderId="85" xfId="10" applyNumberFormat="1" applyFont="1" applyFill="1" applyBorder="1" applyAlignment="1">
      <alignment horizontal="right" vertical="center"/>
    </xf>
    <xf numFmtId="3" fontId="23" fillId="7" borderId="86" xfId="10" applyNumberFormat="1" applyFont="1" applyFill="1" applyBorder="1" applyAlignment="1">
      <alignment horizontal="right" vertical="center"/>
    </xf>
    <xf numFmtId="0" fontId="17" fillId="6" borderId="63" xfId="10" applyFont="1" applyFill="1" applyBorder="1" applyAlignment="1">
      <alignment vertical="center"/>
    </xf>
    <xf numFmtId="0" fontId="17" fillId="6" borderId="21" xfId="10" applyFont="1" applyFill="1" applyBorder="1" applyAlignment="1">
      <alignment vertical="center"/>
    </xf>
    <xf numFmtId="0" fontId="17" fillId="6" borderId="54" xfId="10" applyFont="1" applyFill="1" applyBorder="1" applyAlignment="1">
      <alignment vertical="center"/>
    </xf>
    <xf numFmtId="0" fontId="17" fillId="6" borderId="16" xfId="10" applyFont="1" applyFill="1" applyBorder="1" applyAlignment="1">
      <alignment vertical="center"/>
    </xf>
    <xf numFmtId="3" fontId="23" fillId="8" borderId="83" xfId="10" applyNumberFormat="1" applyFont="1" applyFill="1" applyBorder="1" applyAlignment="1">
      <alignment horizontal="right" vertical="center"/>
    </xf>
    <xf numFmtId="3" fontId="23" fillId="7" borderId="84" xfId="10" applyNumberFormat="1" applyFont="1" applyFill="1" applyBorder="1" applyAlignment="1">
      <alignment horizontal="right" vertical="center"/>
    </xf>
    <xf numFmtId="0" fontId="17" fillId="6" borderId="17" xfId="10" applyFont="1" applyFill="1" applyBorder="1" applyAlignment="1">
      <alignment vertical="center"/>
    </xf>
    <xf numFmtId="0" fontId="17" fillId="6" borderId="87" xfId="10" applyFont="1" applyFill="1" applyBorder="1" applyAlignment="1">
      <alignment vertical="center"/>
    </xf>
    <xf numFmtId="0" fontId="17" fillId="6" borderId="88" xfId="10" applyFont="1" applyFill="1" applyBorder="1" applyAlignment="1">
      <alignment vertical="center"/>
    </xf>
    <xf numFmtId="0" fontId="17" fillId="6" borderId="1" xfId="10" applyFont="1" applyFill="1" applyBorder="1" applyAlignment="1">
      <alignment vertical="center"/>
    </xf>
    <xf numFmtId="0" fontId="17" fillId="6" borderId="3" xfId="10" applyFont="1" applyFill="1" applyBorder="1" applyAlignment="1">
      <alignment vertical="center"/>
    </xf>
    <xf numFmtId="0" fontId="6" fillId="6" borderId="3" xfId="10" applyFont="1" applyFill="1" applyBorder="1" applyAlignment="1">
      <alignment vertical="center"/>
    </xf>
    <xf numFmtId="0" fontId="6" fillId="6" borderId="72" xfId="10" applyFont="1" applyFill="1" applyBorder="1" applyAlignment="1">
      <alignment vertical="center"/>
    </xf>
    <xf numFmtId="166" fontId="20" fillId="6" borderId="41" xfId="10" applyNumberFormat="1" applyFont="1" applyFill="1" applyBorder="1" applyAlignment="1">
      <alignment horizontal="right" vertical="center"/>
    </xf>
    <xf numFmtId="3" fontId="8" fillId="8" borderId="89" xfId="10" applyNumberFormat="1" applyFont="1" applyFill="1" applyBorder="1" applyAlignment="1">
      <alignment horizontal="right" vertical="center"/>
    </xf>
    <xf numFmtId="166" fontId="20" fillId="6" borderId="4" xfId="10" applyNumberFormat="1" applyFont="1" applyFill="1" applyBorder="1" applyAlignment="1">
      <alignment horizontal="right" vertical="center"/>
    </xf>
    <xf numFmtId="3" fontId="8" fillId="7" borderId="90" xfId="10" applyNumberFormat="1" applyFont="1" applyFill="1" applyBorder="1" applyAlignment="1">
      <alignment horizontal="right" vertical="center"/>
    </xf>
    <xf numFmtId="0" fontId="17" fillId="0" borderId="20" xfId="10" applyFont="1" applyBorder="1" applyAlignment="1">
      <alignment vertical="center"/>
    </xf>
    <xf numFmtId="0" fontId="17" fillId="0" borderId="21" xfId="10" applyFont="1" applyBorder="1" applyAlignment="1">
      <alignment vertical="center"/>
    </xf>
    <xf numFmtId="0" fontId="17" fillId="0" borderId="27" xfId="10" applyFont="1" applyBorder="1" applyAlignment="1">
      <alignment vertical="center"/>
    </xf>
    <xf numFmtId="0" fontId="17" fillId="0" borderId="54" xfId="10" applyFont="1" applyBorder="1" applyAlignment="1">
      <alignment vertical="center"/>
    </xf>
    <xf numFmtId="0" fontId="17" fillId="0" borderId="16" xfId="10" applyFont="1" applyBorder="1" applyAlignment="1">
      <alignment vertical="center"/>
    </xf>
    <xf numFmtId="0" fontId="17" fillId="6" borderId="72" xfId="10" applyFont="1" applyFill="1" applyBorder="1" applyAlignment="1">
      <alignment vertical="center"/>
    </xf>
    <xf numFmtId="3" fontId="8" fillId="8" borderId="89" xfId="3" applyNumberFormat="1" applyFont="1" applyFill="1" applyBorder="1" applyAlignment="1">
      <alignment horizontal="right" vertical="center"/>
    </xf>
    <xf numFmtId="3" fontId="8" fillId="7" borderId="90" xfId="3" applyNumberFormat="1" applyFont="1" applyFill="1" applyBorder="1" applyAlignment="1">
      <alignment horizontal="right" vertical="center"/>
    </xf>
    <xf numFmtId="0" fontId="17" fillId="6" borderId="43" xfId="10" applyFont="1" applyFill="1" applyBorder="1" applyAlignment="1">
      <alignment vertical="center"/>
    </xf>
    <xf numFmtId="0" fontId="17" fillId="0" borderId="88" xfId="10" applyFont="1" applyBorder="1" applyAlignment="1">
      <alignment vertical="center"/>
    </xf>
    <xf numFmtId="166" fontId="20" fillId="0" borderId="44" xfId="10" applyNumberFormat="1" applyFont="1" applyBorder="1" applyAlignment="1">
      <alignment horizontal="right" vertical="center"/>
    </xf>
    <xf numFmtId="166" fontId="20" fillId="6" borderId="12" xfId="10" applyNumberFormat="1" applyFont="1" applyFill="1" applyBorder="1" applyAlignment="1">
      <alignment horizontal="right" vertical="center"/>
    </xf>
    <xf numFmtId="166" fontId="20" fillId="0" borderId="16" xfId="10" applyNumberFormat="1" applyFont="1" applyBorder="1" applyAlignment="1">
      <alignment horizontal="right" vertical="center"/>
    </xf>
    <xf numFmtId="3" fontId="8" fillId="8" borderId="85" xfId="10" applyNumberFormat="1" applyFont="1" applyFill="1" applyBorder="1" applyAlignment="1">
      <alignment horizontal="right" vertical="center"/>
    </xf>
    <xf numFmtId="3" fontId="8" fillId="7" borderId="86" xfId="10" applyNumberFormat="1" applyFont="1" applyFill="1" applyBorder="1" applyAlignment="1">
      <alignment horizontal="right" vertical="center"/>
    </xf>
    <xf numFmtId="0" fontId="17" fillId="0" borderId="76" xfId="10" applyFont="1" applyBorder="1" applyAlignment="1">
      <alignment vertical="center"/>
    </xf>
    <xf numFmtId="0" fontId="24" fillId="6" borderId="1" xfId="10" applyFont="1" applyFill="1" applyBorder="1" applyAlignment="1">
      <alignment vertical="center"/>
    </xf>
    <xf numFmtId="0" fontId="24" fillId="6" borderId="3" xfId="10" applyFont="1" applyFill="1" applyBorder="1" applyAlignment="1">
      <alignment vertical="center" wrapText="1"/>
    </xf>
    <xf numFmtId="0" fontId="22" fillId="6" borderId="3" xfId="10" applyFont="1" applyFill="1" applyBorder="1" applyAlignment="1">
      <alignment vertical="center"/>
    </xf>
    <xf numFmtId="0" fontId="22" fillId="6" borderId="72" xfId="10" applyFont="1" applyFill="1" applyBorder="1" applyAlignment="1">
      <alignment vertical="center" wrapText="1"/>
    </xf>
    <xf numFmtId="166" fontId="25" fillId="6" borderId="41" xfId="10" applyNumberFormat="1" applyFont="1" applyFill="1" applyBorder="1" applyAlignment="1">
      <alignment horizontal="right" vertical="center"/>
    </xf>
    <xf numFmtId="3" fontId="27" fillId="8" borderId="89" xfId="10" applyNumberFormat="1" applyFont="1" applyFill="1" applyBorder="1" applyAlignment="1">
      <alignment horizontal="right" vertical="center"/>
    </xf>
    <xf numFmtId="166" fontId="26" fillId="6" borderId="4" xfId="10" applyNumberFormat="1" applyFont="1" applyFill="1" applyBorder="1" applyAlignment="1">
      <alignment horizontal="right" vertical="center"/>
    </xf>
    <xf numFmtId="0" fontId="28" fillId="0" borderId="61" xfId="10" applyFont="1" applyBorder="1" applyAlignment="1">
      <alignment vertical="center"/>
    </xf>
    <xf numFmtId="0" fontId="28" fillId="0" borderId="0" xfId="10" applyFont="1" applyAlignment="1">
      <alignment vertical="center"/>
    </xf>
    <xf numFmtId="0" fontId="29" fillId="0" borderId="0" xfId="10" applyFont="1" applyAlignment="1">
      <alignment vertical="center"/>
    </xf>
    <xf numFmtId="166" fontId="28" fillId="0" borderId="0" xfId="10" applyNumberFormat="1" applyFont="1" applyAlignment="1">
      <alignment horizontal="right" vertical="center"/>
    </xf>
    <xf numFmtId="0" fontId="28" fillId="0" borderId="73" xfId="10" applyFont="1" applyBorder="1" applyAlignment="1">
      <alignment horizontal="right" vertical="center"/>
    </xf>
    <xf numFmtId="0" fontId="22" fillId="6" borderId="20" xfId="10" applyFont="1" applyFill="1" applyBorder="1" applyAlignment="1">
      <alignment vertical="center"/>
    </xf>
    <xf numFmtId="0" fontId="22" fillId="6" borderId="14" xfId="10" applyFont="1" applyFill="1" applyBorder="1" applyAlignment="1">
      <alignment vertical="center"/>
    </xf>
    <xf numFmtId="0" fontId="6" fillId="6" borderId="21" xfId="10" applyFont="1" applyFill="1" applyBorder="1" applyAlignment="1">
      <alignment vertical="center"/>
    </xf>
    <xf numFmtId="0" fontId="14" fillId="6" borderId="54" xfId="10" applyFont="1" applyFill="1" applyBorder="1" applyAlignment="1">
      <alignment vertical="center"/>
    </xf>
    <xf numFmtId="166" fontId="25" fillId="6" borderId="16" xfId="10" applyNumberFormat="1" applyFont="1" applyFill="1" applyBorder="1" applyAlignment="1">
      <alignment horizontal="right" vertical="center"/>
    </xf>
    <xf numFmtId="166" fontId="25" fillId="6" borderId="19" xfId="10" applyNumberFormat="1" applyFont="1" applyFill="1" applyBorder="1" applyAlignment="1">
      <alignment horizontal="right" vertical="center"/>
    </xf>
    <xf numFmtId="3" fontId="6" fillId="7" borderId="84" xfId="10" applyNumberFormat="1" applyFont="1" applyFill="1" applyBorder="1" applyAlignment="1">
      <alignment horizontal="right" vertical="center"/>
    </xf>
    <xf numFmtId="0" fontId="22" fillId="6" borderId="33" xfId="10" applyFont="1" applyFill="1" applyBorder="1" applyAlignment="1">
      <alignment vertical="center"/>
    </xf>
    <xf numFmtId="0" fontId="22" fillId="6" borderId="34" xfId="10" applyFont="1" applyFill="1" applyBorder="1" applyAlignment="1">
      <alignment vertical="center"/>
    </xf>
    <xf numFmtId="0" fontId="6" fillId="6" borderId="35" xfId="10" applyFont="1" applyFill="1" applyBorder="1" applyAlignment="1">
      <alignment vertical="center"/>
    </xf>
    <xf numFmtId="0" fontId="14" fillId="6" borderId="76" xfId="10" applyFont="1" applyFill="1" applyBorder="1" applyAlignment="1">
      <alignment vertical="center"/>
    </xf>
    <xf numFmtId="166" fontId="25" fillId="6" borderId="36" xfId="10" applyNumberFormat="1" applyFont="1" applyFill="1" applyBorder="1" applyAlignment="1">
      <alignment horizontal="right" vertical="center"/>
    </xf>
    <xf numFmtId="166" fontId="25" fillId="6" borderId="37" xfId="10" applyNumberFormat="1" applyFont="1" applyFill="1" applyBorder="1" applyAlignment="1">
      <alignment horizontal="right" vertical="center"/>
    </xf>
    <xf numFmtId="3" fontId="6" fillId="7" borderId="78" xfId="10" applyNumberFormat="1" applyFont="1" applyFill="1" applyBorder="1" applyAlignment="1">
      <alignment horizontal="right" vertical="center"/>
    </xf>
    <xf numFmtId="0" fontId="14" fillId="6" borderId="1" xfId="10" applyFont="1" applyFill="1" applyBorder="1" applyAlignment="1">
      <alignment vertical="center"/>
    </xf>
    <xf numFmtId="0" fontId="14" fillId="6" borderId="2" xfId="10" applyFont="1" applyFill="1" applyBorder="1" applyAlignment="1">
      <alignment vertical="center"/>
    </xf>
    <xf numFmtId="0" fontId="5" fillId="0" borderId="0" xfId="10" applyFont="1" applyAlignment="1">
      <alignment vertical="center"/>
    </xf>
    <xf numFmtId="166" fontId="5" fillId="0" borderId="0" xfId="10" applyNumberFormat="1" applyFont="1" applyAlignment="1">
      <alignment vertical="center"/>
    </xf>
    <xf numFmtId="3" fontId="5" fillId="0" borderId="0" xfId="10" applyNumberFormat="1" applyFont="1" applyAlignment="1">
      <alignment vertical="center"/>
    </xf>
    <xf numFmtId="166" fontId="6" fillId="0" borderId="0" xfId="10" applyNumberFormat="1" applyFont="1" applyAlignment="1">
      <alignment vertical="center"/>
    </xf>
    <xf numFmtId="3" fontId="5" fillId="0" borderId="0" xfId="10" applyNumberFormat="1" applyFont="1" applyAlignment="1">
      <alignment horizontal="right" vertical="center"/>
    </xf>
    <xf numFmtId="0" fontId="6" fillId="0" borderId="0" xfId="10" applyFont="1" applyAlignment="1">
      <alignment vertical="center"/>
    </xf>
    <xf numFmtId="0" fontId="14" fillId="0" borderId="0" xfId="10" applyFont="1" applyAlignment="1">
      <alignment vertical="center"/>
    </xf>
    <xf numFmtId="166" fontId="6" fillId="0" borderId="14" xfId="10" applyNumberFormat="1" applyFont="1" applyBorder="1" applyAlignment="1">
      <alignment vertical="center"/>
    </xf>
    <xf numFmtId="3" fontId="5" fillId="0" borderId="14" xfId="10" applyNumberFormat="1" applyFont="1" applyBorder="1" applyAlignment="1">
      <alignment horizontal="right" vertical="center"/>
    </xf>
    <xf numFmtId="0" fontId="31" fillId="0" borderId="0" xfId="3" applyFont="1" applyAlignment="1">
      <alignment horizontal="right" vertical="center"/>
    </xf>
    <xf numFmtId="0" fontId="32" fillId="0" borderId="0" xfId="5" applyFont="1" applyAlignment="1">
      <alignment horizontal="left" vertical="center"/>
    </xf>
    <xf numFmtId="0" fontId="33" fillId="0" borderId="0" xfId="5" applyFont="1" applyAlignment="1">
      <alignment horizontal="left" vertical="center"/>
    </xf>
    <xf numFmtId="0" fontId="34" fillId="0" borderId="0" xfId="5" applyFont="1" applyAlignment="1">
      <alignment horizontal="center" vertical="center"/>
    </xf>
    <xf numFmtId="0" fontId="8" fillId="0" borderId="0" xfId="5" applyFont="1" applyAlignment="1">
      <alignment vertical="center"/>
    </xf>
    <xf numFmtId="0" fontId="8" fillId="0" borderId="0" xfId="5" applyFont="1" applyAlignment="1">
      <alignment horizontal="left" vertical="center" wrapText="1" indent="1"/>
    </xf>
    <xf numFmtId="3" fontId="8" fillId="0" borderId="0" xfId="5" applyNumberFormat="1" applyFont="1" applyAlignment="1">
      <alignment horizontal="left" vertical="center" wrapText="1" indent="1"/>
    </xf>
    <xf numFmtId="0" fontId="35" fillId="0" borderId="0" xfId="5" applyFont="1" applyAlignment="1">
      <alignment vertical="center"/>
    </xf>
    <xf numFmtId="3" fontId="35" fillId="0" borderId="0" xfId="5" applyNumberFormat="1" applyFont="1" applyAlignment="1">
      <alignment horizontal="right" vertical="center" indent="1"/>
    </xf>
    <xf numFmtId="0" fontId="5" fillId="0" borderId="1" xfId="5" applyFont="1" applyBorder="1" applyAlignment="1">
      <alignment horizontal="center" vertical="center" wrapText="1"/>
    </xf>
    <xf numFmtId="0" fontId="5" fillId="0" borderId="4" xfId="5" applyFont="1" applyBorder="1" applyAlignment="1">
      <alignment horizontal="center" vertical="center" wrapText="1"/>
    </xf>
    <xf numFmtId="0" fontId="5" fillId="0" borderId="41" xfId="5" applyFont="1" applyBorder="1" applyAlignment="1">
      <alignment horizontal="center" vertical="center" wrapText="1"/>
    </xf>
    <xf numFmtId="3" fontId="7" fillId="0" borderId="4" xfId="5" applyNumberFormat="1" applyFont="1" applyBorder="1" applyAlignment="1">
      <alignment horizontal="center" vertical="center" wrapText="1"/>
    </xf>
    <xf numFmtId="0" fontId="8" fillId="0" borderId="91" xfId="5" applyFont="1" applyBorder="1" applyAlignment="1">
      <alignment horizontal="center" vertical="center" wrapText="1"/>
    </xf>
    <xf numFmtId="0" fontId="8" fillId="0" borderId="92" xfId="5" applyFont="1" applyBorder="1" applyAlignment="1">
      <alignment horizontal="left" vertical="center" wrapText="1" indent="1"/>
    </xf>
    <xf numFmtId="3" fontId="8" fillId="0" borderId="94" xfId="5" applyNumberFormat="1" applyFont="1" applyBorder="1" applyAlignment="1">
      <alignment horizontal="right" vertical="center" wrapText="1" indent="1"/>
    </xf>
    <xf numFmtId="3" fontId="8" fillId="0" borderId="92" xfId="5" applyNumberFormat="1" applyFont="1" applyBorder="1" applyAlignment="1">
      <alignment horizontal="right" vertical="center" wrapText="1" indent="1"/>
    </xf>
    <xf numFmtId="0" fontId="8" fillId="0" borderId="95" xfId="5" applyFont="1" applyBorder="1" applyAlignment="1">
      <alignment horizontal="center" vertical="center" wrapText="1"/>
    </xf>
    <xf numFmtId="0" fontId="8" fillId="0" borderId="96" xfId="5" applyFont="1" applyBorder="1" applyAlignment="1">
      <alignment horizontal="left" vertical="center" wrapText="1" indent="1"/>
    </xf>
    <xf numFmtId="3" fontId="8" fillId="0" borderId="98" xfId="5" applyNumberFormat="1" applyFont="1" applyBorder="1" applyAlignment="1">
      <alignment horizontal="right" vertical="center" wrapText="1" indent="1"/>
    </xf>
    <xf numFmtId="0" fontId="5" fillId="0" borderId="1" xfId="5" applyFont="1" applyBorder="1" applyAlignment="1">
      <alignment vertical="center"/>
    </xf>
    <xf numFmtId="0" fontId="5" fillId="0" borderId="4" xfId="5" applyFont="1" applyBorder="1" applyAlignment="1">
      <alignment horizontal="left" vertical="center" indent="1"/>
    </xf>
    <xf numFmtId="3" fontId="7" fillId="0" borderId="99" xfId="5" applyNumberFormat="1" applyFont="1" applyBorder="1" applyAlignment="1">
      <alignment horizontal="right" vertical="center" indent="1"/>
    </xf>
    <xf numFmtId="0" fontId="4" fillId="0" borderId="0" xfId="5" applyFont="1" applyAlignment="1">
      <alignment vertical="center"/>
    </xf>
    <xf numFmtId="0" fontId="4" fillId="0" borderId="0" xfId="0" applyFont="1"/>
    <xf numFmtId="0" fontId="36" fillId="0" borderId="0" xfId="5" applyFont="1" applyAlignment="1">
      <alignment vertical="center"/>
    </xf>
    <xf numFmtId="0" fontId="37" fillId="0" borderId="0" xfId="5" applyFont="1" applyAlignment="1">
      <alignment vertical="center"/>
    </xf>
    <xf numFmtId="0" fontId="38" fillId="0" borderId="0" xfId="5" applyFont="1" applyAlignment="1">
      <alignment vertical="center"/>
    </xf>
    <xf numFmtId="0" fontId="39" fillId="0" borderId="0" xfId="5" applyFont="1" applyAlignment="1">
      <alignment vertical="center"/>
    </xf>
    <xf numFmtId="0" fontId="40" fillId="0" borderId="0" xfId="5" applyFont="1" applyAlignment="1">
      <alignment vertical="center"/>
    </xf>
    <xf numFmtId="3" fontId="35" fillId="0" borderId="14" xfId="5" applyNumberFormat="1" applyFont="1" applyBorder="1" applyAlignment="1">
      <alignment horizontal="right" vertical="center" indent="1"/>
    </xf>
    <xf numFmtId="0" fontId="35" fillId="0" borderId="13" xfId="5" applyFont="1" applyBorder="1" applyAlignment="1">
      <alignment horizontal="center" vertical="center" wrapText="1"/>
    </xf>
    <xf numFmtId="0" fontId="35" fillId="0" borderId="10" xfId="5" applyFont="1" applyBorder="1" applyAlignment="1">
      <alignment horizontal="left" vertical="center" wrapText="1" indent="1"/>
    </xf>
    <xf numFmtId="3" fontId="35" fillId="0" borderId="10" xfId="5" applyNumberFormat="1" applyFont="1" applyBorder="1" applyAlignment="1">
      <alignment horizontal="right" vertical="center" wrapText="1" indent="1"/>
    </xf>
    <xf numFmtId="3" fontId="35" fillId="0" borderId="15" xfId="5" applyNumberFormat="1" applyFont="1" applyBorder="1" applyAlignment="1">
      <alignment horizontal="right" vertical="center" indent="1"/>
    </xf>
    <xf numFmtId="0" fontId="35" fillId="0" borderId="20" xfId="5" applyFont="1" applyBorder="1" applyAlignment="1">
      <alignment horizontal="center" vertical="center" wrapText="1"/>
    </xf>
    <xf numFmtId="0" fontId="35" fillId="0" borderId="14" xfId="5" applyFont="1" applyBorder="1" applyAlignment="1">
      <alignment horizontal="left" vertical="center" wrapText="1" indent="1"/>
    </xf>
    <xf numFmtId="3" fontId="35" fillId="0" borderId="14" xfId="5" applyNumberFormat="1" applyFont="1" applyBorder="1" applyAlignment="1">
      <alignment horizontal="right" vertical="center" wrapText="1" indent="1"/>
    </xf>
    <xf numFmtId="3" fontId="35" fillId="0" borderId="19" xfId="5" applyNumberFormat="1" applyFont="1" applyBorder="1" applyAlignment="1">
      <alignment horizontal="right" vertical="center" indent="1"/>
    </xf>
    <xf numFmtId="0" fontId="35" fillId="0" borderId="22" xfId="5" applyFont="1" applyBorder="1" applyAlignment="1">
      <alignment horizontal="center" vertical="center" wrapText="1"/>
    </xf>
    <xf numFmtId="0" fontId="35" fillId="0" borderId="23" xfId="5" applyFont="1" applyBorder="1" applyAlignment="1">
      <alignment horizontal="left" vertical="center" wrapText="1" indent="1"/>
    </xf>
    <xf numFmtId="3" fontId="35" fillId="0" borderId="23" xfId="5" applyNumberFormat="1" applyFont="1" applyBorder="1" applyAlignment="1">
      <alignment horizontal="right" vertical="center" wrapText="1" indent="1"/>
    </xf>
    <xf numFmtId="3" fontId="35" fillId="0" borderId="26" xfId="5" applyNumberFormat="1" applyFont="1" applyBorder="1" applyAlignment="1">
      <alignment horizontal="right" vertical="center" indent="1"/>
    </xf>
    <xf numFmtId="3" fontId="41" fillId="0" borderId="30" xfId="5" applyNumberFormat="1" applyFont="1" applyBorder="1" applyAlignment="1">
      <alignment horizontal="right" vertical="center" indent="1"/>
    </xf>
    <xf numFmtId="3" fontId="41" fillId="0" borderId="31" xfId="5" applyNumberFormat="1" applyFont="1" applyBorder="1" applyAlignment="1">
      <alignment horizontal="right" vertical="center" indent="1"/>
    </xf>
    <xf numFmtId="3" fontId="8" fillId="0" borderId="13" xfId="8" applyNumberFormat="1" applyFont="1" applyBorder="1" applyAlignment="1">
      <alignment horizontal="right" vertical="center" indent="1"/>
    </xf>
    <xf numFmtId="3" fontId="8" fillId="0" borderId="20" xfId="8" applyNumberFormat="1" applyFont="1" applyBorder="1" applyAlignment="1">
      <alignment horizontal="right" vertical="center" indent="1"/>
    </xf>
    <xf numFmtId="3" fontId="7" fillId="0" borderId="45" xfId="8" applyNumberFormat="1" applyFont="1" applyBorder="1" applyAlignment="1">
      <alignment horizontal="right" vertical="center" indent="1"/>
    </xf>
    <xf numFmtId="3" fontId="8" fillId="0" borderId="33" xfId="8" applyNumberFormat="1" applyFont="1" applyBorder="1" applyAlignment="1">
      <alignment horizontal="right" vertical="center" indent="1"/>
    </xf>
    <xf numFmtId="3" fontId="7" fillId="0" borderId="1" xfId="8" applyNumberFormat="1" applyFont="1" applyBorder="1" applyAlignment="1">
      <alignment horizontal="right" vertical="center" indent="1"/>
    </xf>
    <xf numFmtId="0" fontId="3" fillId="0" borderId="0" xfId="3" applyFont="1" applyAlignment="1">
      <alignment vertical="center"/>
    </xf>
    <xf numFmtId="9" fontId="12" fillId="10" borderId="42" xfId="0" applyNumberFormat="1" applyFont="1" applyFill="1" applyBorder="1"/>
    <xf numFmtId="9" fontId="12" fillId="10" borderId="72" xfId="0" applyNumberFormat="1" applyFont="1" applyFill="1" applyBorder="1"/>
    <xf numFmtId="0" fontId="0" fillId="10" borderId="22" xfId="0" applyFill="1" applyBorder="1" applyAlignment="1">
      <alignment horizontal="center"/>
    </xf>
    <xf numFmtId="0" fontId="0" fillId="10" borderId="79" xfId="0" applyFill="1" applyBorder="1" applyAlignment="1">
      <alignment horizontal="center"/>
    </xf>
    <xf numFmtId="0" fontId="0" fillId="10" borderId="24" xfId="0" applyFill="1" applyBorder="1" applyAlignment="1">
      <alignment horizontal="center"/>
    </xf>
    <xf numFmtId="0" fontId="0" fillId="10" borderId="26" xfId="0" applyFill="1" applyBorder="1" applyAlignment="1">
      <alignment horizontal="center"/>
    </xf>
    <xf numFmtId="0" fontId="0" fillId="10" borderId="22" xfId="0" applyFill="1" applyBorder="1" applyAlignment="1">
      <alignment horizontal="center" vertical="center" wrapText="1"/>
    </xf>
    <xf numFmtId="0" fontId="0" fillId="10" borderId="26" xfId="0" applyFill="1" applyBorder="1" applyAlignment="1">
      <alignment horizontal="center" vertical="center" wrapText="1"/>
    </xf>
    <xf numFmtId="0" fontId="0" fillId="11" borderId="61" xfId="0" applyFill="1" applyBorder="1" applyAlignment="1">
      <alignment horizontal="center" vertical="center"/>
    </xf>
    <xf numFmtId="0" fontId="8" fillId="11" borderId="49" xfId="5" applyFont="1" applyFill="1" applyBorder="1" applyAlignment="1">
      <alignment horizontal="left" vertical="center" wrapText="1" indent="1"/>
    </xf>
    <xf numFmtId="0" fontId="8" fillId="11" borderId="50" xfId="5" applyFont="1" applyFill="1" applyBorder="1" applyAlignment="1">
      <alignment horizontal="left" vertical="center" wrapText="1" indent="1"/>
    </xf>
    <xf numFmtId="0" fontId="0" fillId="11" borderId="67" xfId="0" applyFill="1" applyBorder="1" applyAlignment="1">
      <alignment horizontal="center" vertical="center"/>
    </xf>
    <xf numFmtId="0" fontId="8" fillId="11" borderId="51" xfId="5" applyFont="1" applyFill="1" applyBorder="1" applyAlignment="1">
      <alignment horizontal="left" vertical="center" wrapText="1" indent="1"/>
    </xf>
    <xf numFmtId="0" fontId="0" fillId="11" borderId="56" xfId="0" applyFill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/>
    </xf>
    <xf numFmtId="0" fontId="12" fillId="11" borderId="46" xfId="0" applyFont="1" applyFill="1" applyBorder="1" applyAlignment="1">
      <alignment horizontal="center"/>
    </xf>
    <xf numFmtId="0" fontId="0" fillId="10" borderId="102" xfId="0" applyFill="1" applyBorder="1" applyAlignment="1">
      <alignment horizontal="center"/>
    </xf>
    <xf numFmtId="0" fontId="0" fillId="10" borderId="24" xfId="0" applyFill="1" applyBorder="1" applyAlignment="1">
      <alignment horizontal="center" vertical="center" wrapText="1"/>
    </xf>
    <xf numFmtId="0" fontId="0" fillId="12" borderId="61" xfId="0" applyFill="1" applyBorder="1" applyAlignment="1">
      <alignment horizontal="center" vertical="center"/>
    </xf>
    <xf numFmtId="0" fontId="8" fillId="12" borderId="49" xfId="5" applyFont="1" applyFill="1" applyBorder="1" applyAlignment="1">
      <alignment horizontal="left" vertical="center" wrapText="1" indent="1"/>
    </xf>
    <xf numFmtId="0" fontId="0" fillId="12" borderId="67" xfId="0" applyFill="1" applyBorder="1" applyAlignment="1">
      <alignment horizontal="center" vertical="center"/>
    </xf>
    <xf numFmtId="0" fontId="8" fillId="12" borderId="51" xfId="5" applyFont="1" applyFill="1" applyBorder="1" applyAlignment="1">
      <alignment horizontal="left" vertical="center" wrapText="1" indent="1"/>
    </xf>
    <xf numFmtId="0" fontId="0" fillId="12" borderId="56" xfId="0" applyFill="1" applyBorder="1" applyAlignment="1">
      <alignment horizontal="center" vertical="center"/>
    </xf>
    <xf numFmtId="0" fontId="12" fillId="12" borderId="42" xfId="0" applyFont="1" applyFill="1" applyBorder="1" applyAlignment="1">
      <alignment horizontal="center"/>
    </xf>
    <xf numFmtId="0" fontId="12" fillId="12" borderId="46" xfId="0" applyFont="1" applyFill="1" applyBorder="1" applyAlignment="1">
      <alignment horizontal="center"/>
    </xf>
    <xf numFmtId="0" fontId="0" fillId="13" borderId="61" xfId="0" applyFill="1" applyBorder="1" applyAlignment="1">
      <alignment horizontal="center" vertical="center"/>
    </xf>
    <xf numFmtId="0" fontId="8" fillId="13" borderId="49" xfId="5" applyFont="1" applyFill="1" applyBorder="1" applyAlignment="1">
      <alignment horizontal="left" vertical="center" wrapText="1" indent="1"/>
    </xf>
    <xf numFmtId="0" fontId="8" fillId="13" borderId="50" xfId="5" applyFont="1" applyFill="1" applyBorder="1" applyAlignment="1">
      <alignment horizontal="left" vertical="center" wrapText="1" indent="1"/>
    </xf>
    <xf numFmtId="0" fontId="0" fillId="13" borderId="67" xfId="0" applyFill="1" applyBorder="1" applyAlignment="1">
      <alignment horizontal="center" vertical="center"/>
    </xf>
    <xf numFmtId="0" fontId="8" fillId="13" borderId="51" xfId="5" applyFont="1" applyFill="1" applyBorder="1" applyAlignment="1">
      <alignment horizontal="left" vertical="center" wrapText="1" indent="1"/>
    </xf>
    <xf numFmtId="0" fontId="0" fillId="13" borderId="49" xfId="0" applyFill="1" applyBorder="1" applyAlignment="1">
      <alignment horizontal="center" vertical="center"/>
    </xf>
    <xf numFmtId="0" fontId="0" fillId="13" borderId="50" xfId="0" applyFill="1" applyBorder="1" applyAlignment="1">
      <alignment horizontal="center" vertical="center"/>
    </xf>
    <xf numFmtId="0" fontId="0" fillId="13" borderId="51" xfId="0" applyFill="1" applyBorder="1" applyAlignment="1">
      <alignment horizontal="center" vertical="center"/>
    </xf>
    <xf numFmtId="0" fontId="12" fillId="13" borderId="46" xfId="0" applyFont="1" applyFill="1" applyBorder="1" applyAlignment="1">
      <alignment horizontal="center"/>
    </xf>
    <xf numFmtId="0" fontId="0" fillId="14" borderId="61" xfId="0" applyFill="1" applyBorder="1" applyAlignment="1">
      <alignment horizontal="center" vertical="center"/>
    </xf>
    <xf numFmtId="0" fontId="8" fillId="14" borderId="49" xfId="5" applyFont="1" applyFill="1" applyBorder="1" applyAlignment="1">
      <alignment horizontal="left" vertical="center" wrapText="1" indent="1"/>
    </xf>
    <xf numFmtId="0" fontId="8" fillId="14" borderId="50" xfId="5" applyFont="1" applyFill="1" applyBorder="1" applyAlignment="1">
      <alignment horizontal="left" vertical="center" wrapText="1" indent="1"/>
    </xf>
    <xf numFmtId="0" fontId="0" fillId="14" borderId="67" xfId="0" applyFill="1" applyBorder="1" applyAlignment="1">
      <alignment horizontal="center" vertical="center"/>
    </xf>
    <xf numFmtId="0" fontId="8" fillId="14" borderId="51" xfId="5" applyFont="1" applyFill="1" applyBorder="1" applyAlignment="1">
      <alignment horizontal="left" vertical="center" wrapText="1" indent="1"/>
    </xf>
    <xf numFmtId="0" fontId="0" fillId="14" borderId="56" xfId="0" applyFill="1" applyBorder="1" applyAlignment="1">
      <alignment horizontal="center" vertical="center"/>
    </xf>
    <xf numFmtId="0" fontId="12" fillId="14" borderId="42" xfId="0" applyFont="1" applyFill="1" applyBorder="1" applyAlignment="1">
      <alignment horizontal="center"/>
    </xf>
    <xf numFmtId="0" fontId="12" fillId="14" borderId="46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3" fontId="8" fillId="0" borderId="0" xfId="8" applyNumberFormat="1" applyFont="1"/>
    <xf numFmtId="0" fontId="30" fillId="0" borderId="0" xfId="5" applyFont="1" applyAlignment="1">
      <alignment horizontal="left" vertical="center" wrapText="1"/>
    </xf>
    <xf numFmtId="0" fontId="8" fillId="0" borderId="0" xfId="5" applyFont="1"/>
    <xf numFmtId="0" fontId="8" fillId="0" borderId="21" xfId="5" applyFont="1" applyBorder="1"/>
    <xf numFmtId="0" fontId="8" fillId="0" borderId="54" xfId="5" applyFont="1" applyBorder="1"/>
    <xf numFmtId="0" fontId="8" fillId="0" borderId="16" xfId="5" applyFont="1" applyBorder="1"/>
    <xf numFmtId="3" fontId="8" fillId="0" borderId="14" xfId="5" applyNumberFormat="1" applyFont="1" applyBorder="1" applyAlignment="1">
      <alignment horizontal="right" indent="1"/>
    </xf>
    <xf numFmtId="170" fontId="8" fillId="0" borderId="14" xfId="5" applyNumberFormat="1" applyFont="1" applyBorder="1" applyAlignment="1">
      <alignment horizontal="right" indent="1"/>
    </xf>
    <xf numFmtId="0" fontId="35" fillId="0" borderId="0" xfId="5" applyFont="1" applyAlignment="1">
      <alignment horizontal="left"/>
    </xf>
    <xf numFmtId="170" fontId="35" fillId="0" borderId="0" xfId="5" applyNumberFormat="1" applyFont="1" applyAlignment="1">
      <alignment horizontal="right"/>
    </xf>
    <xf numFmtId="0" fontId="35" fillId="0" borderId="0" xfId="5" applyFont="1"/>
    <xf numFmtId="0" fontId="35" fillId="0" borderId="0" xfId="5" applyFont="1" applyAlignment="1">
      <alignment horizontal="right" indent="1"/>
    </xf>
    <xf numFmtId="0" fontId="7" fillId="0" borderId="80" xfId="5" applyFont="1" applyBorder="1" applyAlignment="1">
      <alignment horizontal="center" vertical="center" wrapText="1"/>
    </xf>
    <xf numFmtId="0" fontId="7" fillId="0" borderId="24" xfId="5" applyFont="1" applyBorder="1" applyAlignment="1">
      <alignment horizontal="center" vertical="center" wrapText="1"/>
    </xf>
    <xf numFmtId="49" fontId="44" fillId="0" borderId="43" xfId="5" applyNumberFormat="1" applyFont="1" applyBorder="1" applyAlignment="1">
      <alignment horizontal="center" vertical="center"/>
    </xf>
    <xf numFmtId="0" fontId="44" fillId="0" borderId="12" xfId="5" applyFont="1" applyBorder="1" applyAlignment="1">
      <alignment horizontal="left" vertical="center" indent="1"/>
    </xf>
    <xf numFmtId="3" fontId="6" fillId="0" borderId="44" xfId="6" applyNumberFormat="1" applyFont="1" applyBorder="1" applyAlignment="1">
      <alignment horizontal="right" vertical="center" indent="1"/>
    </xf>
    <xf numFmtId="3" fontId="6" fillId="0" borderId="18" xfId="6" applyNumberFormat="1" applyFont="1" applyBorder="1" applyAlignment="1">
      <alignment horizontal="right" vertical="center" indent="1"/>
    </xf>
    <xf numFmtId="3" fontId="7" fillId="0" borderId="105" xfId="5" applyNumberFormat="1" applyFont="1" applyBorder="1" applyAlignment="1">
      <alignment horizontal="right" vertical="center" indent="1"/>
    </xf>
    <xf numFmtId="49" fontId="44" fillId="0" borderId="20" xfId="5" applyNumberFormat="1" applyFont="1" applyBorder="1" applyAlignment="1">
      <alignment horizontal="center" vertical="center"/>
    </xf>
    <xf numFmtId="0" fontId="44" fillId="0" borderId="19" xfId="5" applyFont="1" applyBorder="1" applyAlignment="1">
      <alignment horizontal="left" vertical="center" indent="1"/>
    </xf>
    <xf numFmtId="3" fontId="6" fillId="0" borderId="16" xfId="6" applyNumberFormat="1" applyFont="1" applyBorder="1" applyAlignment="1">
      <alignment horizontal="right" vertical="center" indent="1"/>
    </xf>
    <xf numFmtId="3" fontId="6" fillId="0" borderId="21" xfId="6" applyNumberFormat="1" applyFont="1" applyBorder="1" applyAlignment="1">
      <alignment horizontal="right" vertical="center" indent="1"/>
    </xf>
    <xf numFmtId="3" fontId="6" fillId="0" borderId="16" xfId="5" applyNumberFormat="1" applyFont="1" applyBorder="1" applyAlignment="1">
      <alignment horizontal="right" vertical="center" indent="1"/>
    </xf>
    <xf numFmtId="3" fontId="6" fillId="0" borderId="21" xfId="5" applyNumberFormat="1" applyFont="1" applyBorder="1" applyAlignment="1">
      <alignment horizontal="right" vertical="center" indent="1"/>
    </xf>
    <xf numFmtId="3" fontId="7" fillId="0" borderId="105" xfId="5" quotePrefix="1" applyNumberFormat="1" applyFont="1" applyBorder="1" applyAlignment="1">
      <alignment horizontal="right" vertical="center" indent="1"/>
    </xf>
    <xf numFmtId="49" fontId="44" fillId="0" borderId="33" xfId="5" applyNumberFormat="1" applyFont="1" applyBorder="1" applyAlignment="1">
      <alignment horizontal="center" vertical="center"/>
    </xf>
    <xf numFmtId="0" fontId="44" fillId="0" borderId="37" xfId="5" applyFont="1" applyBorder="1" applyAlignment="1">
      <alignment horizontal="left" vertical="center" indent="1"/>
    </xf>
    <xf numFmtId="3" fontId="8" fillId="0" borderId="36" xfId="5" applyNumberFormat="1" applyFont="1" applyBorder="1" applyAlignment="1">
      <alignment horizontal="right" vertical="center" indent="1"/>
    </xf>
    <xf numFmtId="3" fontId="8" fillId="0" borderId="35" xfId="5" applyNumberFormat="1" applyFont="1" applyBorder="1" applyAlignment="1">
      <alignment horizontal="right" vertical="center" indent="1"/>
    </xf>
    <xf numFmtId="3" fontId="7" fillId="0" borderId="41" xfId="5" applyNumberFormat="1" applyFont="1" applyBorder="1" applyAlignment="1">
      <alignment horizontal="right" vertical="center" indent="1"/>
    </xf>
    <xf numFmtId="3" fontId="7" fillId="0" borderId="3" xfId="5" applyNumberFormat="1" applyFont="1" applyBorder="1" applyAlignment="1">
      <alignment horizontal="right" vertical="center" indent="1"/>
    </xf>
    <xf numFmtId="3" fontId="7" fillId="0" borderId="46" xfId="5" applyNumberFormat="1" applyFont="1" applyBorder="1" applyAlignment="1">
      <alignment horizontal="right" vertical="center" indent="1"/>
    </xf>
    <xf numFmtId="0" fontId="8" fillId="0" borderId="0" xfId="8" applyFont="1" applyAlignment="1">
      <alignment vertical="center"/>
    </xf>
    <xf numFmtId="0" fontId="35" fillId="0" borderId="21" xfId="8" applyFont="1" applyBorder="1" applyAlignment="1">
      <alignment vertical="center"/>
    </xf>
    <xf numFmtId="0" fontId="35" fillId="0" borderId="54" xfId="8" applyFont="1" applyBorder="1" applyAlignment="1">
      <alignment vertical="center"/>
    </xf>
    <xf numFmtId="0" fontId="35" fillId="0" borderId="16" xfId="8" applyFont="1" applyBorder="1" applyAlignment="1">
      <alignment vertical="center"/>
    </xf>
    <xf numFmtId="3" fontId="35" fillId="0" borderId="14" xfId="8" applyNumberFormat="1" applyFont="1" applyBorder="1" applyAlignment="1">
      <alignment horizontal="right" vertical="center" indent="1"/>
    </xf>
    <xf numFmtId="10" fontId="35" fillId="0" borderId="14" xfId="1" applyNumberFormat="1" applyFont="1" applyBorder="1" applyAlignment="1">
      <alignment horizontal="right" vertical="center" indent="1"/>
    </xf>
    <xf numFmtId="0" fontId="35" fillId="0" borderId="0" xfId="8" applyFont="1" applyAlignment="1">
      <alignment vertical="center"/>
    </xf>
    <xf numFmtId="0" fontId="45" fillId="0" borderId="0" xfId="8" applyFont="1" applyAlignment="1">
      <alignment vertical="center"/>
    </xf>
    <xf numFmtId="169" fontId="35" fillId="0" borderId="0" xfId="8" applyNumberFormat="1" applyFont="1" applyAlignment="1">
      <alignment horizontal="right" vertical="center"/>
    </xf>
    <xf numFmtId="0" fontId="46" fillId="0" borderId="0" xfId="8" applyFont="1" applyAlignment="1">
      <alignment horizontal="center" vertical="center"/>
    </xf>
    <xf numFmtId="0" fontId="35" fillId="0" borderId="0" xfId="8" applyFont="1" applyAlignment="1">
      <alignment horizontal="right" vertical="center"/>
    </xf>
    <xf numFmtId="0" fontId="44" fillId="0" borderId="37" xfId="8" applyFont="1" applyBorder="1" applyAlignment="1">
      <alignment horizontal="left" vertical="center" indent="1"/>
    </xf>
    <xf numFmtId="0" fontId="48" fillId="0" borderId="0" xfId="8" applyFont="1" applyAlignment="1">
      <alignment vertical="center"/>
    </xf>
    <xf numFmtId="166" fontId="49" fillId="0" borderId="0" xfId="8" applyNumberFormat="1" applyFont="1" applyAlignment="1">
      <alignment vertical="center"/>
    </xf>
    <xf numFmtId="3" fontId="0" fillId="0" borderId="19" xfId="0" applyNumberFormat="1" applyBorder="1" applyAlignment="1">
      <alignment horizontal="right" indent="1"/>
    </xf>
    <xf numFmtId="0" fontId="17" fillId="6" borderId="42" xfId="10" applyFont="1" applyFill="1" applyBorder="1" applyAlignment="1">
      <alignment vertical="center"/>
    </xf>
    <xf numFmtId="3" fontId="24" fillId="6" borderId="1" xfId="10" applyNumberFormat="1" applyFont="1" applyFill="1" applyBorder="1" applyAlignment="1">
      <alignment vertical="center"/>
    </xf>
    <xf numFmtId="3" fontId="24" fillId="6" borderId="2" xfId="10" applyNumberFormat="1" applyFont="1" applyFill="1" applyBorder="1" applyAlignment="1">
      <alignment vertical="center"/>
    </xf>
    <xf numFmtId="0" fontId="14" fillId="6" borderId="3" xfId="10" applyFont="1" applyFill="1" applyBorder="1" applyAlignment="1">
      <alignment vertical="center"/>
    </xf>
    <xf numFmtId="3" fontId="15" fillId="6" borderId="72" xfId="10" applyNumberFormat="1" applyFont="1" applyFill="1" applyBorder="1" applyAlignment="1">
      <alignment vertical="center"/>
    </xf>
    <xf numFmtId="0" fontId="15" fillId="6" borderId="72" xfId="10" applyFont="1" applyFill="1" applyBorder="1" applyAlignment="1">
      <alignment vertical="center"/>
    </xf>
    <xf numFmtId="3" fontId="30" fillId="8" borderId="89" xfId="10" applyNumberFormat="1" applyFont="1" applyFill="1" applyBorder="1" applyAlignment="1">
      <alignment horizontal="right" vertical="center"/>
    </xf>
    <xf numFmtId="3" fontId="30" fillId="7" borderId="90" xfId="10" applyNumberFormat="1" applyFont="1" applyFill="1" applyBorder="1" applyAlignment="1">
      <alignment horizontal="right" vertical="center"/>
    </xf>
    <xf numFmtId="3" fontId="30" fillId="9" borderId="90" xfId="10" applyNumberFormat="1" applyFont="1" applyFill="1" applyBorder="1" applyAlignment="1">
      <alignment horizontal="right" vertical="center"/>
    </xf>
    <xf numFmtId="0" fontId="5" fillId="0" borderId="0" xfId="10" applyFont="1" applyAlignment="1">
      <alignment horizontal="left" vertical="center"/>
    </xf>
    <xf numFmtId="0" fontId="22" fillId="6" borderId="13" xfId="10" applyFont="1" applyFill="1" applyBorder="1" applyAlignment="1">
      <alignment vertical="center"/>
    </xf>
    <xf numFmtId="0" fontId="22" fillId="6" borderId="10" xfId="10" applyFont="1" applyFill="1" applyBorder="1" applyAlignment="1">
      <alignment vertical="center"/>
    </xf>
    <xf numFmtId="0" fontId="6" fillId="6" borderId="11" xfId="10" applyFont="1" applyFill="1" applyBorder="1" applyAlignment="1">
      <alignment vertical="center"/>
    </xf>
    <xf numFmtId="0" fontId="14" fillId="6" borderId="8" xfId="10" applyFont="1" applyFill="1" applyBorder="1" applyAlignment="1">
      <alignment vertical="center"/>
    </xf>
    <xf numFmtId="166" fontId="25" fillId="6" borderId="9" xfId="10" applyNumberFormat="1" applyFont="1" applyFill="1" applyBorder="1" applyAlignment="1">
      <alignment horizontal="right" vertical="center"/>
    </xf>
    <xf numFmtId="166" fontId="25" fillId="6" borderId="15" xfId="10" applyNumberFormat="1" applyFont="1" applyFill="1" applyBorder="1" applyAlignment="1">
      <alignment horizontal="right" vertical="center"/>
    </xf>
    <xf numFmtId="3" fontId="6" fillId="7" borderId="107" xfId="10" applyNumberFormat="1" applyFont="1" applyFill="1" applyBorder="1" applyAlignment="1">
      <alignment horizontal="right" vertical="center"/>
    </xf>
    <xf numFmtId="10" fontId="0" fillId="0" borderId="0" xfId="1" applyNumberFormat="1" applyFont="1"/>
    <xf numFmtId="0" fontId="6" fillId="6" borderId="0" xfId="10" applyFont="1" applyFill="1" applyAlignment="1">
      <alignment horizontal="center" vertical="center"/>
    </xf>
    <xf numFmtId="0" fontId="6" fillId="0" borderId="24" xfId="10" applyFont="1" applyBorder="1" applyAlignment="1">
      <alignment horizontal="left" vertical="center"/>
    </xf>
    <xf numFmtId="0" fontId="6" fillId="0" borderId="79" xfId="1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/>
    </xf>
    <xf numFmtId="0" fontId="6" fillId="0" borderId="19" xfId="0" applyFont="1" applyBorder="1" applyAlignment="1">
      <alignment horizontal="left" vertical="center" indent="1"/>
    </xf>
    <xf numFmtId="0" fontId="6" fillId="0" borderId="20" xfId="0" applyFont="1" applyBorder="1" applyAlignment="1">
      <alignment horizontal="center" vertical="center"/>
    </xf>
    <xf numFmtId="0" fontId="6" fillId="6" borderId="19" xfId="0" applyFont="1" applyFill="1" applyBorder="1" applyAlignment="1">
      <alignment horizontal="left" vertical="center" indent="1"/>
    </xf>
    <xf numFmtId="0" fontId="6" fillId="0" borderId="22" xfId="0" applyFont="1" applyBorder="1" applyAlignment="1">
      <alignment horizontal="center" vertical="center"/>
    </xf>
    <xf numFmtId="0" fontId="0" fillId="0" borderId="43" xfId="0" applyBorder="1" applyAlignment="1">
      <alignment horizontal="center"/>
    </xf>
    <xf numFmtId="0" fontId="0" fillId="0" borderId="20" xfId="0" applyBorder="1" applyAlignment="1">
      <alignment horizontal="center"/>
    </xf>
    <xf numFmtId="10" fontId="0" fillId="0" borderId="21" xfId="1" applyNumberFormat="1" applyFont="1" applyBorder="1" applyAlignment="1">
      <alignment horizontal="right" indent="1"/>
    </xf>
    <xf numFmtId="0" fontId="0" fillId="0" borderId="33" xfId="0" applyBorder="1" applyAlignment="1">
      <alignment horizontal="center"/>
    </xf>
    <xf numFmtId="171" fontId="0" fillId="0" borderId="0" xfId="0" applyNumberFormat="1"/>
    <xf numFmtId="0" fontId="0" fillId="0" borderId="22" xfId="0" applyBorder="1" applyAlignment="1">
      <alignment horizontal="center"/>
    </xf>
    <xf numFmtId="0" fontId="15" fillId="6" borderId="0" xfId="10" applyFont="1" applyFill="1" applyAlignment="1">
      <alignment horizontal="center" vertical="center" wrapText="1"/>
    </xf>
    <xf numFmtId="10" fontId="6" fillId="6" borderId="0" xfId="10" applyNumberFormat="1" applyFont="1" applyFill="1" applyAlignment="1">
      <alignment horizontal="center" vertical="center"/>
    </xf>
    <xf numFmtId="3" fontId="5" fillId="0" borderId="0" xfId="10" applyNumberFormat="1" applyFont="1" applyAlignment="1">
      <alignment horizontal="center" vertical="center"/>
    </xf>
    <xf numFmtId="0" fontId="14" fillId="7" borderId="4" xfId="10" applyFont="1" applyFill="1" applyBorder="1" applyAlignment="1">
      <alignment horizontal="center" vertical="top"/>
    </xf>
    <xf numFmtId="3" fontId="5" fillId="7" borderId="15" xfId="10" applyNumberFormat="1" applyFont="1" applyFill="1" applyBorder="1" applyAlignment="1">
      <alignment horizontal="center" vertical="center"/>
    </xf>
    <xf numFmtId="3" fontId="5" fillId="7" borderId="12" xfId="10" applyNumberFormat="1" applyFont="1" applyFill="1" applyBorder="1" applyAlignment="1">
      <alignment horizontal="center" vertical="center"/>
    </xf>
    <xf numFmtId="3" fontId="5" fillId="7" borderId="26" xfId="10" applyNumberFormat="1" applyFont="1" applyFill="1" applyBorder="1" applyAlignment="1">
      <alignment horizontal="center" vertical="center"/>
    </xf>
    <xf numFmtId="0" fontId="8" fillId="0" borderId="0" xfId="8" applyFont="1" applyAlignment="1">
      <alignment horizontal="right"/>
    </xf>
    <xf numFmtId="3" fontId="6" fillId="0" borderId="0" xfId="10" applyNumberFormat="1" applyFont="1" applyAlignment="1">
      <alignment vertical="center"/>
    </xf>
    <xf numFmtId="0" fontId="3" fillId="0" borderId="0" xfId="2" applyFont="1"/>
    <xf numFmtId="0" fontId="52" fillId="0" borderId="0" xfId="2" applyFont="1"/>
    <xf numFmtId="0" fontId="53" fillId="0" borderId="0" xfId="0" applyFont="1"/>
    <xf numFmtId="0" fontId="50" fillId="0" borderId="0" xfId="0" applyFont="1"/>
    <xf numFmtId="0" fontId="8" fillId="0" borderId="0" xfId="0" applyFont="1" applyAlignment="1">
      <alignment horizontal="center"/>
    </xf>
    <xf numFmtId="0" fontId="6" fillId="0" borderId="0" xfId="9" quotePrefix="1" applyFont="1"/>
    <xf numFmtId="0" fontId="8" fillId="0" borderId="0" xfId="0" applyFont="1" applyAlignment="1">
      <alignment horizontal="center" vertical="top"/>
    </xf>
    <xf numFmtId="0" fontId="6" fillId="0" borderId="0" xfId="0" quotePrefix="1" applyFont="1"/>
    <xf numFmtId="0" fontId="6" fillId="0" borderId="0" xfId="9" quotePrefix="1" applyFont="1" applyAlignment="1"/>
    <xf numFmtId="0" fontId="6" fillId="0" borderId="0" xfId="9" applyFont="1" applyAlignment="1"/>
    <xf numFmtId="3" fontId="8" fillId="0" borderId="11" xfId="8" applyNumberFormat="1" applyFont="1" applyBorder="1" applyAlignment="1">
      <alignment horizontal="right" vertical="center" indent="1"/>
    </xf>
    <xf numFmtId="0" fontId="7" fillId="0" borderId="45" xfId="8" applyFont="1" applyBorder="1" applyAlignment="1">
      <alignment horizontal="center" vertical="center"/>
    </xf>
    <xf numFmtId="0" fontId="7" fillId="0" borderId="1" xfId="8" applyFont="1" applyBorder="1" applyAlignment="1">
      <alignment horizontal="center" vertical="center"/>
    </xf>
    <xf numFmtId="0" fontId="7" fillId="0" borderId="41" xfId="8" applyFont="1" applyBorder="1" applyAlignment="1">
      <alignment horizontal="center" vertical="center"/>
    </xf>
    <xf numFmtId="0" fontId="8" fillId="0" borderId="17" xfId="5" applyFont="1" applyBorder="1" applyAlignment="1">
      <alignment horizontal="left" vertical="center"/>
    </xf>
    <xf numFmtId="0" fontId="8" fillId="0" borderId="47" xfId="5" applyFont="1" applyBorder="1" applyAlignment="1">
      <alignment horizontal="left" vertical="center"/>
    </xf>
    <xf numFmtId="0" fontId="8" fillId="0" borderId="14" xfId="5" applyFont="1" applyBorder="1" applyAlignment="1">
      <alignment horizontal="left" vertical="center"/>
    </xf>
    <xf numFmtId="0" fontId="8" fillId="0" borderId="40" xfId="5" applyFont="1" applyBorder="1" applyAlignment="1">
      <alignment horizontal="left" vertical="center"/>
    </xf>
    <xf numFmtId="6" fontId="0" fillId="0" borderId="0" xfId="0" applyNumberFormat="1"/>
    <xf numFmtId="10" fontId="0" fillId="0" borderId="11" xfId="1" applyNumberFormat="1" applyFont="1" applyBorder="1" applyAlignment="1">
      <alignment horizontal="right" indent="1"/>
    </xf>
    <xf numFmtId="3" fontId="0" fillId="0" borderId="15" xfId="0" applyNumberFormat="1" applyBorder="1" applyAlignment="1">
      <alignment horizontal="right" indent="1"/>
    </xf>
    <xf numFmtId="0" fontId="0" fillId="0" borderId="14" xfId="0" applyBorder="1" applyAlignment="1">
      <alignment horizontal="center"/>
    </xf>
    <xf numFmtId="0" fontId="0" fillId="0" borderId="23" xfId="0" applyBorder="1" applyAlignment="1">
      <alignment horizontal="center"/>
    </xf>
    <xf numFmtId="10" fontId="0" fillId="0" borderId="24" xfId="1" applyNumberFormat="1" applyFont="1" applyBorder="1" applyAlignment="1">
      <alignment horizontal="right" indent="1"/>
    </xf>
    <xf numFmtId="3" fontId="0" fillId="0" borderId="26" xfId="0" applyNumberFormat="1" applyBorder="1" applyAlignment="1">
      <alignment horizontal="right" indent="1"/>
    </xf>
    <xf numFmtId="0" fontId="12" fillId="13" borderId="1" xfId="0" applyFont="1" applyFill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9" fontId="0" fillId="0" borderId="14" xfId="0" applyNumberForma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52" xfId="0" applyFont="1" applyBorder="1" applyAlignment="1">
      <alignment horizontal="center" vertical="center" wrapText="1"/>
    </xf>
    <xf numFmtId="0" fontId="12" fillId="0" borderId="5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34" xfId="0" applyBorder="1" applyAlignment="1">
      <alignment horizontal="center"/>
    </xf>
    <xf numFmtId="0" fontId="7" fillId="0" borderId="80" xfId="8" applyFont="1" applyBorder="1" applyAlignment="1">
      <alignment horizontal="center" vertical="center" wrapText="1"/>
    </xf>
    <xf numFmtId="0" fontId="7" fillId="0" borderId="24" xfId="8" applyFont="1" applyBorder="1" applyAlignment="1">
      <alignment horizontal="center" vertical="center" wrapText="1"/>
    </xf>
    <xf numFmtId="49" fontId="44" fillId="0" borderId="43" xfId="8" applyNumberFormat="1" applyFont="1" applyBorder="1" applyAlignment="1">
      <alignment horizontal="center" vertical="center"/>
    </xf>
    <xf numFmtId="0" fontId="44" fillId="0" borderId="12" xfId="8" applyFont="1" applyBorder="1" applyAlignment="1">
      <alignment horizontal="left" vertical="center" indent="1"/>
    </xf>
    <xf numFmtId="49" fontId="44" fillId="0" borderId="20" xfId="8" applyNumberFormat="1" applyFont="1" applyBorder="1" applyAlignment="1">
      <alignment horizontal="center" vertical="center"/>
    </xf>
    <xf numFmtId="0" fontId="44" fillId="0" borderId="19" xfId="8" applyFont="1" applyBorder="1" applyAlignment="1">
      <alignment horizontal="left" vertical="center" indent="1"/>
    </xf>
    <xf numFmtId="49" fontId="44" fillId="0" borderId="33" xfId="8" applyNumberFormat="1" applyFont="1" applyBorder="1" applyAlignment="1">
      <alignment horizontal="center" vertical="center"/>
    </xf>
    <xf numFmtId="0" fontId="47" fillId="0" borderId="4" xfId="8" applyFont="1" applyBorder="1" applyAlignment="1">
      <alignment horizontal="left" vertical="center" indent="1"/>
    </xf>
    <xf numFmtId="3" fontId="5" fillId="0" borderId="1" xfId="8" applyNumberFormat="1" applyFont="1" applyBorder="1" applyAlignment="1">
      <alignment horizontal="right" vertical="center" indent="1"/>
    </xf>
    <xf numFmtId="0" fontId="6" fillId="6" borderId="11" xfId="0" applyFont="1" applyFill="1" applyBorder="1" applyAlignment="1">
      <alignment horizontal="right" indent="1"/>
    </xf>
    <xf numFmtId="0" fontId="6" fillId="6" borderId="21" xfId="0" applyFont="1" applyFill="1" applyBorder="1" applyAlignment="1">
      <alignment horizontal="right" indent="1"/>
    </xf>
    <xf numFmtId="0" fontId="8" fillId="6" borderId="54" xfId="0" applyFont="1" applyFill="1" applyBorder="1" applyAlignment="1">
      <alignment horizontal="right" indent="1"/>
    </xf>
    <xf numFmtId="1" fontId="8" fillId="0" borderId="14" xfId="0" applyNumberFormat="1" applyFont="1" applyBorder="1" applyAlignment="1">
      <alignment horizontal="right" indent="1"/>
    </xf>
    <xf numFmtId="0" fontId="6" fillId="6" borderId="54" xfId="0" applyFont="1" applyFill="1" applyBorder="1" applyAlignment="1">
      <alignment horizontal="right" indent="1"/>
    </xf>
    <xf numFmtId="0" fontId="8" fillId="6" borderId="16" xfId="0" applyFont="1" applyFill="1" applyBorder="1" applyAlignment="1">
      <alignment horizontal="right" wrapText="1" indent="1"/>
    </xf>
    <xf numFmtId="0" fontId="6" fillId="6" borderId="54" xfId="0" applyFont="1" applyFill="1" applyBorder="1" applyAlignment="1">
      <alignment horizontal="right" wrapText="1" indent="1"/>
    </xf>
    <xf numFmtId="0" fontId="8" fillId="6" borderId="76" xfId="0" applyFont="1" applyFill="1" applyBorder="1" applyAlignment="1">
      <alignment horizontal="right" indent="1"/>
    </xf>
    <xf numFmtId="0" fontId="8" fillId="6" borderId="16" xfId="0" applyFont="1" applyFill="1" applyBorder="1" applyAlignment="1">
      <alignment horizontal="right" indent="1"/>
    </xf>
    <xf numFmtId="0" fontId="6" fillId="6" borderId="16" xfId="0" applyFont="1" applyFill="1" applyBorder="1" applyAlignment="1">
      <alignment horizontal="right" indent="1"/>
    </xf>
    <xf numFmtId="1" fontId="8" fillId="6" borderId="14" xfId="0" applyNumberFormat="1" applyFont="1" applyFill="1" applyBorder="1" applyAlignment="1">
      <alignment horizontal="right" indent="1"/>
    </xf>
    <xf numFmtId="0" fontId="8" fillId="0" borderId="76" xfId="0" applyFont="1" applyBorder="1" applyAlignment="1">
      <alignment horizontal="right" indent="1"/>
    </xf>
    <xf numFmtId="0" fontId="6" fillId="0" borderId="16" xfId="0" applyFont="1" applyBorder="1" applyAlignment="1">
      <alignment horizontal="right" indent="1"/>
    </xf>
    <xf numFmtId="3" fontId="5" fillId="0" borderId="72" xfId="8" applyNumberFormat="1" applyFont="1" applyBorder="1" applyAlignment="1">
      <alignment horizontal="right" vertical="center" indent="1"/>
    </xf>
    <xf numFmtId="3" fontId="6" fillId="0" borderId="105" xfId="8" applyNumberFormat="1" applyFont="1" applyBorder="1" applyAlignment="1">
      <alignment horizontal="right" vertical="center" indent="1"/>
    </xf>
    <xf numFmtId="3" fontId="5" fillId="0" borderId="46" xfId="8" applyNumberFormat="1" applyFont="1" applyBorder="1" applyAlignment="1">
      <alignment horizontal="right" vertical="center" indent="1"/>
    </xf>
    <xf numFmtId="0" fontId="55" fillId="0" borderId="0" xfId="8" applyFont="1" applyAlignment="1">
      <alignment horizontal="right" vertical="center"/>
    </xf>
    <xf numFmtId="10" fontId="49" fillId="0" borderId="0" xfId="0" applyNumberFormat="1" applyFont="1" applyAlignment="1">
      <alignment horizontal="left" vertical="center"/>
    </xf>
    <xf numFmtId="4" fontId="0" fillId="0" borderId="0" xfId="0" applyNumberFormat="1"/>
    <xf numFmtId="172" fontId="0" fillId="0" borderId="0" xfId="0" applyNumberFormat="1"/>
    <xf numFmtId="0" fontId="56" fillId="0" borderId="0" xfId="3" applyFont="1" applyAlignment="1">
      <alignment horizontal="right" vertical="center"/>
    </xf>
    <xf numFmtId="0" fontId="11" fillId="0" borderId="0" xfId="9" applyFill="1" applyAlignment="1">
      <alignment horizontal="left" vertical="center"/>
    </xf>
    <xf numFmtId="0" fontId="57" fillId="0" borderId="0" xfId="9" quotePrefix="1" applyFont="1" applyFill="1"/>
    <xf numFmtId="0" fontId="57" fillId="0" borderId="0" xfId="9" applyFont="1" applyFill="1"/>
    <xf numFmtId="10" fontId="0" fillId="0" borderId="13" xfId="0" applyNumberFormat="1" applyBorder="1" applyAlignment="1">
      <alignment horizontal="right" indent="1"/>
    </xf>
    <xf numFmtId="10" fontId="0" fillId="0" borderId="10" xfId="1" applyNumberFormat="1" applyFont="1" applyBorder="1" applyAlignment="1">
      <alignment horizontal="right" indent="1"/>
    </xf>
    <xf numFmtId="10" fontId="0" fillId="0" borderId="13" xfId="1" applyNumberFormat="1" applyFont="1" applyBorder="1" applyAlignment="1">
      <alignment horizontal="right" indent="1"/>
    </xf>
    <xf numFmtId="10" fontId="0" fillId="0" borderId="20" xfId="1" applyNumberFormat="1" applyFont="1" applyBorder="1" applyAlignment="1">
      <alignment horizontal="right" indent="1"/>
    </xf>
    <xf numFmtId="10" fontId="0" fillId="0" borderId="14" xfId="1" applyNumberFormat="1" applyFont="1" applyBorder="1" applyAlignment="1">
      <alignment horizontal="right" indent="1"/>
    </xf>
    <xf numFmtId="10" fontId="0" fillId="0" borderId="22" xfId="1" applyNumberFormat="1" applyFont="1" applyBorder="1" applyAlignment="1">
      <alignment horizontal="right" indent="1"/>
    </xf>
    <xf numFmtId="10" fontId="0" fillId="0" borderId="23" xfId="1" applyNumberFormat="1" applyFont="1" applyBorder="1" applyAlignment="1">
      <alignment horizontal="right" indent="1"/>
    </xf>
    <xf numFmtId="10" fontId="0" fillId="0" borderId="38" xfId="0" applyNumberFormat="1" applyBorder="1" applyAlignment="1">
      <alignment horizontal="right" indent="1"/>
    </xf>
    <xf numFmtId="10" fontId="0" fillId="0" borderId="30" xfId="1" applyNumberFormat="1" applyFont="1" applyBorder="1" applyAlignment="1">
      <alignment horizontal="right" indent="1"/>
    </xf>
    <xf numFmtId="10" fontId="0" fillId="0" borderId="32" xfId="1" applyNumberFormat="1" applyFont="1" applyBorder="1" applyAlignment="1">
      <alignment horizontal="right" indent="1"/>
    </xf>
    <xf numFmtId="10" fontId="0" fillId="0" borderId="38" xfId="1" applyNumberFormat="1" applyFont="1" applyBorder="1" applyAlignment="1">
      <alignment horizontal="right" indent="1"/>
    </xf>
    <xf numFmtId="3" fontId="0" fillId="0" borderId="31" xfId="0" applyNumberFormat="1" applyBorder="1" applyAlignment="1">
      <alignment horizontal="right" indent="1"/>
    </xf>
    <xf numFmtId="0" fontId="0" fillId="0" borderId="17" xfId="0" applyBorder="1" applyAlignment="1">
      <alignment horizontal="left" indent="1"/>
    </xf>
    <xf numFmtId="0" fontId="0" fillId="0" borderId="14" xfId="0" applyBorder="1" applyAlignment="1">
      <alignment horizontal="left" indent="1"/>
    </xf>
    <xf numFmtId="0" fontId="0" fillId="0" borderId="34" xfId="0" applyBorder="1" applyAlignment="1">
      <alignment horizontal="left" indent="1"/>
    </xf>
    <xf numFmtId="0" fontId="0" fillId="0" borderId="23" xfId="0" applyBorder="1" applyAlignment="1">
      <alignment horizontal="left" indent="1"/>
    </xf>
    <xf numFmtId="0" fontId="0" fillId="0" borderId="18" xfId="0" applyBorder="1" applyAlignment="1">
      <alignment horizontal="left" indent="1"/>
    </xf>
    <xf numFmtId="0" fontId="0" fillId="0" borderId="21" xfId="0" applyBorder="1" applyAlignment="1">
      <alignment horizontal="left" indent="1"/>
    </xf>
    <xf numFmtId="0" fontId="0" fillId="0" borderId="35" xfId="0" applyBorder="1" applyAlignment="1">
      <alignment horizontal="left" indent="1"/>
    </xf>
    <xf numFmtId="0" fontId="0" fillId="0" borderId="24" xfId="0" applyBorder="1" applyAlignment="1">
      <alignment horizontal="left" inden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8" fillId="0" borderId="34" xfId="5" applyFont="1" applyBorder="1" applyAlignment="1">
      <alignment horizontal="left" vertical="center"/>
    </xf>
    <xf numFmtId="0" fontId="8" fillId="0" borderId="48" xfId="5" applyFont="1" applyBorder="1" applyAlignment="1">
      <alignment horizontal="left" vertical="center"/>
    </xf>
    <xf numFmtId="10" fontId="8" fillId="0" borderId="17" xfId="1" applyNumberFormat="1" applyFont="1" applyBorder="1" applyAlignment="1">
      <alignment horizontal="right" vertical="center" indent="1"/>
    </xf>
    <xf numFmtId="10" fontId="8" fillId="0" borderId="14" xfId="1" applyNumberFormat="1" applyFont="1" applyBorder="1" applyAlignment="1">
      <alignment horizontal="right" vertical="center" indent="1"/>
    </xf>
    <xf numFmtId="10" fontId="8" fillId="0" borderId="34" xfId="1" applyNumberFormat="1" applyFont="1" applyBorder="1" applyAlignment="1">
      <alignment horizontal="right" vertical="center" indent="1"/>
    </xf>
    <xf numFmtId="3" fontId="8" fillId="0" borderId="47" xfId="5" applyNumberFormat="1" applyFont="1" applyBorder="1" applyAlignment="1">
      <alignment horizontal="right" vertical="center" indent="1"/>
    </xf>
    <xf numFmtId="3" fontId="8" fillId="0" borderId="40" xfId="5" applyNumberFormat="1" applyFont="1" applyBorder="1" applyAlignment="1">
      <alignment horizontal="right" vertical="center" indent="1"/>
    </xf>
    <xf numFmtId="3" fontId="8" fillId="0" borderId="48" xfId="5" applyNumberFormat="1" applyFont="1" applyBorder="1" applyAlignment="1">
      <alignment horizontal="right" vertical="center" indent="1"/>
    </xf>
    <xf numFmtId="3" fontId="8" fillId="6" borderId="11" xfId="0" applyNumberFormat="1" applyFont="1" applyFill="1" applyBorder="1" applyAlignment="1">
      <alignment horizontal="right" indent="1"/>
    </xf>
    <xf numFmtId="3" fontId="8" fillId="6" borderId="21" xfId="0" applyNumberFormat="1" applyFont="1" applyFill="1" applyBorder="1" applyAlignment="1">
      <alignment horizontal="right" indent="1"/>
    </xf>
    <xf numFmtId="3" fontId="6" fillId="0" borderId="21" xfId="8" applyNumberFormat="1" applyFont="1" applyBorder="1" applyAlignment="1">
      <alignment horizontal="right" vertical="center" indent="1"/>
    </xf>
    <xf numFmtId="3" fontId="8" fillId="6" borderId="35" xfId="0" applyNumberFormat="1" applyFont="1" applyFill="1" applyBorder="1" applyAlignment="1">
      <alignment horizontal="right" indent="1"/>
    </xf>
    <xf numFmtId="3" fontId="8" fillId="6" borderId="60" xfId="0" applyNumberFormat="1" applyFont="1" applyFill="1" applyBorder="1" applyAlignment="1">
      <alignment horizontal="right" indent="1"/>
    </xf>
    <xf numFmtId="3" fontId="8" fillId="0" borderId="35" xfId="0" applyNumberFormat="1" applyFont="1" applyBorder="1" applyAlignment="1">
      <alignment horizontal="right" indent="1"/>
    </xf>
    <xf numFmtId="3" fontId="8" fillId="0" borderId="21" xfId="0" applyNumberFormat="1" applyFont="1" applyBorder="1" applyAlignment="1">
      <alignment horizontal="right" indent="1"/>
    </xf>
    <xf numFmtId="3" fontId="8" fillId="7" borderId="66" xfId="10" applyNumberFormat="1" applyFont="1" applyFill="1" applyBorder="1" applyAlignment="1">
      <alignment horizontal="right" vertical="center"/>
    </xf>
    <xf numFmtId="172" fontId="0" fillId="0" borderId="0" xfId="1" applyNumberFormat="1" applyFont="1"/>
    <xf numFmtId="3" fontId="12" fillId="0" borderId="0" xfId="0" applyNumberFormat="1" applyFont="1"/>
    <xf numFmtId="10" fontId="0" fillId="0" borderId="0" xfId="0" applyNumberFormat="1"/>
    <xf numFmtId="3" fontId="8" fillId="0" borderId="19" xfId="0" applyNumberFormat="1" applyFont="1" applyBorder="1" applyAlignment="1">
      <alignment horizontal="right" vertical="center" indent="1"/>
    </xf>
    <xf numFmtId="3" fontId="8" fillId="6" borderId="19" xfId="0" applyNumberFormat="1" applyFont="1" applyFill="1" applyBorder="1" applyAlignment="1">
      <alignment horizontal="right" vertical="center" indent="1"/>
    </xf>
    <xf numFmtId="3" fontId="8" fillId="6" borderId="37" xfId="0" applyNumberFormat="1" applyFont="1" applyFill="1" applyBorder="1" applyAlignment="1">
      <alignment horizontal="right" vertical="center" indent="1"/>
    </xf>
    <xf numFmtId="3" fontId="5" fillId="6" borderId="4" xfId="0" applyNumberFormat="1" applyFont="1" applyFill="1" applyBorder="1" applyAlignment="1">
      <alignment horizontal="right" vertical="center" indent="1"/>
    </xf>
    <xf numFmtId="3" fontId="7" fillId="7" borderId="46" xfId="10" applyNumberFormat="1" applyFont="1" applyFill="1" applyBorder="1" applyAlignment="1">
      <alignment horizontal="right" vertical="center"/>
    </xf>
    <xf numFmtId="0" fontId="5" fillId="0" borderId="42" xfId="0" applyFont="1" applyBorder="1" applyAlignment="1">
      <alignment horizontal="center" vertical="center" wrapText="1"/>
    </xf>
    <xf numFmtId="10" fontId="8" fillId="0" borderId="53" xfId="1" applyNumberFormat="1" applyFont="1" applyBorder="1" applyAlignment="1">
      <alignment horizontal="right" vertical="center" indent="1"/>
    </xf>
    <xf numFmtId="10" fontId="8" fillId="6" borderId="53" xfId="1" applyNumberFormat="1" applyFont="1" applyFill="1" applyBorder="1" applyAlignment="1">
      <alignment horizontal="right" vertical="center" indent="1"/>
    </xf>
    <xf numFmtId="10" fontId="8" fillId="6" borderId="109" xfId="1" applyNumberFormat="1" applyFont="1" applyFill="1" applyBorder="1" applyAlignment="1">
      <alignment horizontal="right" vertical="center" indent="1"/>
    </xf>
    <xf numFmtId="166" fontId="5" fillId="6" borderId="42" xfId="1" applyNumberFormat="1" applyFont="1" applyFill="1" applyBorder="1" applyAlignment="1">
      <alignment horizontal="right" vertical="center" indent="1"/>
    </xf>
    <xf numFmtId="3" fontId="6" fillId="8" borderId="107" xfId="10" applyNumberFormat="1" applyFont="1" applyFill="1" applyBorder="1" applyAlignment="1">
      <alignment horizontal="right" vertical="center"/>
    </xf>
    <xf numFmtId="3" fontId="6" fillId="8" borderId="84" xfId="10" applyNumberFormat="1" applyFont="1" applyFill="1" applyBorder="1" applyAlignment="1">
      <alignment horizontal="right" vertical="center"/>
    </xf>
    <xf numFmtId="3" fontId="6" fillId="8" borderId="78" xfId="10" applyNumberFormat="1" applyFont="1" applyFill="1" applyBorder="1" applyAlignment="1">
      <alignment horizontal="right" vertical="center"/>
    </xf>
    <xf numFmtId="3" fontId="30" fillId="8" borderId="90" xfId="10" applyNumberFormat="1" applyFont="1" applyFill="1" applyBorder="1" applyAlignment="1">
      <alignment horizontal="right" vertical="center"/>
    </xf>
    <xf numFmtId="9" fontId="12" fillId="10" borderId="45" xfId="0" applyNumberFormat="1" applyFont="1" applyFill="1" applyBorder="1"/>
    <xf numFmtId="10" fontId="12" fillId="10" borderId="42" xfId="0" applyNumberFormat="1" applyFont="1" applyFill="1" applyBorder="1"/>
    <xf numFmtId="10" fontId="12" fillId="10" borderId="45" xfId="0" applyNumberFormat="1" applyFont="1" applyFill="1" applyBorder="1"/>
    <xf numFmtId="9" fontId="12" fillId="10" borderId="8" xfId="0" applyNumberFormat="1" applyFont="1" applyFill="1" applyBorder="1" applyAlignment="1">
      <alignment vertical="center" wrapText="1"/>
    </xf>
    <xf numFmtId="165" fontId="12" fillId="10" borderId="101" xfId="1" applyNumberFormat="1" applyFont="1" applyFill="1" applyBorder="1" applyAlignment="1">
      <alignment vertical="center" wrapText="1"/>
    </xf>
    <xf numFmtId="0" fontId="0" fillId="11" borderId="56" xfId="0" applyFill="1" applyBorder="1"/>
    <xf numFmtId="0" fontId="0" fillId="11" borderId="0" xfId="0" applyFill="1"/>
    <xf numFmtId="0" fontId="0" fillId="11" borderId="57" xfId="0" applyFill="1" applyBorder="1"/>
    <xf numFmtId="10" fontId="0" fillId="11" borderId="100" xfId="1" applyNumberFormat="1" applyFont="1" applyFill="1" applyBorder="1"/>
    <xf numFmtId="10" fontId="0" fillId="11" borderId="57" xfId="1" applyNumberFormat="1" applyFont="1" applyFill="1" applyBorder="1"/>
    <xf numFmtId="165" fontId="0" fillId="11" borderId="56" xfId="1" applyNumberFormat="1" applyFont="1" applyFill="1" applyBorder="1"/>
    <xf numFmtId="165" fontId="0" fillId="11" borderId="49" xfId="1" applyNumberFormat="1" applyFont="1" applyFill="1" applyBorder="1"/>
    <xf numFmtId="10" fontId="0" fillId="11" borderId="73" xfId="1" applyNumberFormat="1" applyFont="1" applyFill="1" applyBorder="1"/>
    <xf numFmtId="0" fontId="0" fillId="11" borderId="61" xfId="0" applyFill="1" applyBorder="1"/>
    <xf numFmtId="10" fontId="0" fillId="11" borderId="0" xfId="1" applyNumberFormat="1" applyFont="1" applyFill="1" applyBorder="1"/>
    <xf numFmtId="165" fontId="0" fillId="11" borderId="0" xfId="1" applyNumberFormat="1" applyFont="1" applyFill="1" applyBorder="1"/>
    <xf numFmtId="165" fontId="0" fillId="11" borderId="50" xfId="1" applyNumberFormat="1" applyFont="1" applyFill="1" applyBorder="1"/>
    <xf numFmtId="0" fontId="0" fillId="11" borderId="67" xfId="0" applyFill="1" applyBorder="1"/>
    <xf numFmtId="0" fontId="0" fillId="11" borderId="68" xfId="0" applyFill="1" applyBorder="1"/>
    <xf numFmtId="10" fontId="0" fillId="11" borderId="104" xfId="1" applyNumberFormat="1" applyFont="1" applyFill="1" applyBorder="1"/>
    <xf numFmtId="0" fontId="12" fillId="11" borderId="72" xfId="0" applyFont="1" applyFill="1" applyBorder="1"/>
    <xf numFmtId="10" fontId="12" fillId="11" borderId="72" xfId="1" applyNumberFormat="1" applyFont="1" applyFill="1" applyBorder="1"/>
    <xf numFmtId="0" fontId="12" fillId="11" borderId="42" xfId="0" applyFont="1" applyFill="1" applyBorder="1"/>
    <xf numFmtId="10" fontId="12" fillId="11" borderId="45" xfId="1" applyNumberFormat="1" applyFont="1" applyFill="1" applyBorder="1"/>
    <xf numFmtId="165" fontId="12" fillId="11" borderId="72" xfId="1" applyNumberFormat="1" applyFont="1" applyFill="1" applyBorder="1"/>
    <xf numFmtId="165" fontId="12" fillId="11" borderId="46" xfId="1" applyNumberFormat="1" applyFont="1" applyFill="1" applyBorder="1"/>
    <xf numFmtId="3" fontId="0" fillId="11" borderId="57" xfId="0" applyNumberFormat="1" applyFill="1" applyBorder="1"/>
    <xf numFmtId="3" fontId="0" fillId="11" borderId="56" xfId="0" applyNumberFormat="1" applyFill="1" applyBorder="1"/>
    <xf numFmtId="3" fontId="0" fillId="11" borderId="0" xfId="0" applyNumberFormat="1" applyFill="1"/>
    <xf numFmtId="3" fontId="0" fillId="11" borderId="61" xfId="0" applyNumberFormat="1" applyFill="1" applyBorder="1"/>
    <xf numFmtId="3" fontId="0" fillId="11" borderId="68" xfId="0" applyNumberFormat="1" applyFill="1" applyBorder="1"/>
    <xf numFmtId="3" fontId="12" fillId="11" borderId="72" xfId="0" applyNumberFormat="1" applyFont="1" applyFill="1" applyBorder="1"/>
    <xf numFmtId="3" fontId="12" fillId="11" borderId="42" xfId="0" applyNumberFormat="1" applyFont="1" applyFill="1" applyBorder="1"/>
    <xf numFmtId="10" fontId="0" fillId="0" borderId="0" xfId="1" applyNumberFormat="1" applyFont="1" applyFill="1" applyBorder="1"/>
    <xf numFmtId="10" fontId="12" fillId="0" borderId="0" xfId="1" applyNumberFormat="1" applyFont="1" applyFill="1" applyBorder="1"/>
    <xf numFmtId="3" fontId="0" fillId="11" borderId="67" xfId="0" applyNumberFormat="1" applyFill="1" applyBorder="1"/>
    <xf numFmtId="9" fontId="12" fillId="10" borderId="101" xfId="0" applyNumberFormat="1" applyFont="1" applyFill="1" applyBorder="1" applyAlignment="1">
      <alignment vertical="center" wrapText="1"/>
    </xf>
    <xf numFmtId="3" fontId="0" fillId="12" borderId="56" xfId="0" applyNumberFormat="1" applyFill="1" applyBorder="1"/>
    <xf numFmtId="10" fontId="0" fillId="12" borderId="100" xfId="1" applyNumberFormat="1" applyFont="1" applyFill="1" applyBorder="1"/>
    <xf numFmtId="10" fontId="0" fillId="12" borderId="57" xfId="1" applyNumberFormat="1" applyFont="1" applyFill="1" applyBorder="1"/>
    <xf numFmtId="165" fontId="0" fillId="12" borderId="49" xfId="1" applyNumberFormat="1" applyFont="1" applyFill="1" applyBorder="1"/>
    <xf numFmtId="3" fontId="0" fillId="12" borderId="61" xfId="0" applyNumberFormat="1" applyFill="1" applyBorder="1"/>
    <xf numFmtId="10" fontId="0" fillId="12" borderId="73" xfId="1" applyNumberFormat="1" applyFont="1" applyFill="1" applyBorder="1"/>
    <xf numFmtId="3" fontId="0" fillId="12" borderId="67" xfId="0" applyNumberFormat="1" applyFill="1" applyBorder="1"/>
    <xf numFmtId="10" fontId="0" fillId="12" borderId="104" xfId="1" applyNumberFormat="1" applyFont="1" applyFill="1" applyBorder="1"/>
    <xf numFmtId="10" fontId="0" fillId="12" borderId="0" xfId="1" applyNumberFormat="1" applyFont="1" applyFill="1" applyBorder="1"/>
    <xf numFmtId="165" fontId="0" fillId="12" borderId="50" xfId="1" applyNumberFormat="1" applyFont="1" applyFill="1" applyBorder="1"/>
    <xf numFmtId="3" fontId="12" fillId="12" borderId="42" xfId="0" applyNumberFormat="1" applyFont="1" applyFill="1" applyBorder="1"/>
    <xf numFmtId="10" fontId="12" fillId="12" borderId="45" xfId="1" applyNumberFormat="1" applyFont="1" applyFill="1" applyBorder="1"/>
    <xf numFmtId="3" fontId="12" fillId="12" borderId="72" xfId="0" applyNumberFormat="1" applyFont="1" applyFill="1" applyBorder="1"/>
    <xf numFmtId="10" fontId="12" fillId="12" borderId="72" xfId="1" applyNumberFormat="1" applyFont="1" applyFill="1" applyBorder="1"/>
    <xf numFmtId="165" fontId="12" fillId="12" borderId="46" xfId="1" applyNumberFormat="1" applyFont="1" applyFill="1" applyBorder="1"/>
    <xf numFmtId="0" fontId="0" fillId="0" borderId="61" xfId="0" applyBorder="1"/>
    <xf numFmtId="10" fontId="12" fillId="10" borderId="72" xfId="0" applyNumberFormat="1" applyFont="1" applyFill="1" applyBorder="1"/>
    <xf numFmtId="10" fontId="12" fillId="10" borderId="49" xfId="0" applyNumberFormat="1" applyFont="1" applyFill="1" applyBorder="1" applyAlignment="1">
      <alignment vertical="center" wrapText="1"/>
    </xf>
    <xf numFmtId="0" fontId="0" fillId="13" borderId="56" xfId="0" applyFill="1" applyBorder="1"/>
    <xf numFmtId="10" fontId="0" fillId="13" borderId="100" xfId="1" applyNumberFormat="1" applyFont="1" applyFill="1" applyBorder="1"/>
    <xf numFmtId="0" fontId="0" fillId="13" borderId="0" xfId="0" applyFill="1"/>
    <xf numFmtId="0" fontId="0" fillId="13" borderId="57" xfId="0" applyFill="1" applyBorder="1"/>
    <xf numFmtId="10" fontId="0" fillId="13" borderId="57" xfId="1" applyNumberFormat="1" applyFont="1" applyFill="1" applyBorder="1"/>
    <xf numFmtId="165" fontId="0" fillId="13" borderId="56" xfId="1" applyNumberFormat="1" applyFont="1" applyFill="1" applyBorder="1"/>
    <xf numFmtId="165" fontId="0" fillId="13" borderId="49" xfId="1" applyNumberFormat="1" applyFont="1" applyFill="1" applyBorder="1"/>
    <xf numFmtId="0" fontId="0" fillId="13" borderId="61" xfId="0" applyFill="1" applyBorder="1"/>
    <xf numFmtId="10" fontId="0" fillId="13" borderId="73" xfId="1" applyNumberFormat="1" applyFont="1" applyFill="1" applyBorder="1"/>
    <xf numFmtId="10" fontId="0" fillId="13" borderId="0" xfId="1" applyNumberFormat="1" applyFont="1" applyFill="1" applyBorder="1"/>
    <xf numFmtId="165" fontId="0" fillId="13" borderId="0" xfId="1" applyNumberFormat="1" applyFont="1" applyFill="1" applyBorder="1"/>
    <xf numFmtId="165" fontId="0" fillId="13" borderId="50" xfId="1" applyNumberFormat="1" applyFont="1" applyFill="1" applyBorder="1"/>
    <xf numFmtId="0" fontId="0" fillId="13" borderId="67" xfId="0" applyFill="1" applyBorder="1"/>
    <xf numFmtId="0" fontId="0" fillId="13" borderId="68" xfId="0" applyFill="1" applyBorder="1"/>
    <xf numFmtId="10" fontId="0" fillId="13" borderId="104" xfId="1" applyNumberFormat="1" applyFont="1" applyFill="1" applyBorder="1"/>
    <xf numFmtId="0" fontId="12" fillId="13" borderId="42" xfId="0" applyFont="1" applyFill="1" applyBorder="1"/>
    <xf numFmtId="10" fontId="12" fillId="13" borderId="45" xfId="1" applyNumberFormat="1" applyFont="1" applyFill="1" applyBorder="1"/>
    <xf numFmtId="0" fontId="12" fillId="13" borderId="72" xfId="0" applyFont="1" applyFill="1" applyBorder="1"/>
    <xf numFmtId="10" fontId="12" fillId="13" borderId="72" xfId="1" applyNumberFormat="1" applyFont="1" applyFill="1" applyBorder="1"/>
    <xf numFmtId="165" fontId="12" fillId="13" borderId="72" xfId="1" applyNumberFormat="1" applyFont="1" applyFill="1" applyBorder="1"/>
    <xf numFmtId="165" fontId="12" fillId="13" borderId="46" xfId="1" applyNumberFormat="1" applyFont="1" applyFill="1" applyBorder="1"/>
    <xf numFmtId="3" fontId="0" fillId="13" borderId="56" xfId="0" applyNumberFormat="1" applyFill="1" applyBorder="1"/>
    <xf numFmtId="3" fontId="0" fillId="13" borderId="57" xfId="0" applyNumberFormat="1" applyFill="1" applyBorder="1"/>
    <xf numFmtId="3" fontId="0" fillId="13" borderId="61" xfId="0" applyNumberFormat="1" applyFill="1" applyBorder="1"/>
    <xf numFmtId="3" fontId="0" fillId="13" borderId="0" xfId="0" applyNumberFormat="1" applyFill="1"/>
    <xf numFmtId="3" fontId="0" fillId="13" borderId="67" xfId="0" applyNumberFormat="1" applyFill="1" applyBorder="1"/>
    <xf numFmtId="3" fontId="0" fillId="13" borderId="68" xfId="0" applyNumberFormat="1" applyFill="1" applyBorder="1"/>
    <xf numFmtId="3" fontId="12" fillId="13" borderId="42" xfId="0" applyNumberFormat="1" applyFont="1" applyFill="1" applyBorder="1"/>
    <xf numFmtId="3" fontId="12" fillId="13" borderId="72" xfId="0" applyNumberFormat="1" applyFont="1" applyFill="1" applyBorder="1"/>
    <xf numFmtId="3" fontId="0" fillId="14" borderId="56" xfId="0" applyNumberFormat="1" applyFill="1" applyBorder="1"/>
    <xf numFmtId="10" fontId="0" fillId="14" borderId="100" xfId="1" applyNumberFormat="1" applyFont="1" applyFill="1" applyBorder="1"/>
    <xf numFmtId="3" fontId="0" fillId="14" borderId="0" xfId="0" applyNumberFormat="1" applyFill="1"/>
    <xf numFmtId="3" fontId="0" fillId="14" borderId="57" xfId="0" applyNumberFormat="1" applyFill="1" applyBorder="1"/>
    <xf numFmtId="10" fontId="0" fillId="14" borderId="57" xfId="1" applyNumberFormat="1" applyFont="1" applyFill="1" applyBorder="1"/>
    <xf numFmtId="165" fontId="0" fillId="14" borderId="56" xfId="1" applyNumberFormat="1" applyFont="1" applyFill="1" applyBorder="1"/>
    <xf numFmtId="165" fontId="0" fillId="14" borderId="49" xfId="1" applyNumberFormat="1" applyFont="1" applyFill="1" applyBorder="1"/>
    <xf numFmtId="3" fontId="0" fillId="14" borderId="61" xfId="0" applyNumberFormat="1" applyFill="1" applyBorder="1"/>
    <xf numFmtId="10" fontId="0" fillId="14" borderId="73" xfId="1" applyNumberFormat="1" applyFont="1" applyFill="1" applyBorder="1"/>
    <xf numFmtId="10" fontId="0" fillId="14" borderId="0" xfId="1" applyNumberFormat="1" applyFont="1" applyFill="1" applyBorder="1"/>
    <xf numFmtId="165" fontId="0" fillId="14" borderId="0" xfId="1" applyNumberFormat="1" applyFont="1" applyFill="1" applyBorder="1"/>
    <xf numFmtId="165" fontId="0" fillId="14" borderId="50" xfId="1" applyNumberFormat="1" applyFont="1" applyFill="1" applyBorder="1"/>
    <xf numFmtId="3" fontId="0" fillId="14" borderId="67" xfId="0" applyNumberFormat="1" applyFill="1" applyBorder="1"/>
    <xf numFmtId="3" fontId="0" fillId="14" borderId="68" xfId="0" applyNumberFormat="1" applyFill="1" applyBorder="1"/>
    <xf numFmtId="10" fontId="0" fillId="14" borderId="104" xfId="1" applyNumberFormat="1" applyFont="1" applyFill="1" applyBorder="1"/>
    <xf numFmtId="3" fontId="12" fillId="14" borderId="42" xfId="0" applyNumberFormat="1" applyFont="1" applyFill="1" applyBorder="1"/>
    <xf numFmtId="10" fontId="12" fillId="14" borderId="45" xfId="1" applyNumberFormat="1" applyFont="1" applyFill="1" applyBorder="1"/>
    <xf numFmtId="3" fontId="12" fillId="14" borderId="72" xfId="0" applyNumberFormat="1" applyFont="1" applyFill="1" applyBorder="1"/>
    <xf numFmtId="10" fontId="12" fillId="14" borderId="72" xfId="1" applyNumberFormat="1" applyFont="1" applyFill="1" applyBorder="1"/>
    <xf numFmtId="165" fontId="12" fillId="14" borderId="72" xfId="1" applyNumberFormat="1" applyFont="1" applyFill="1" applyBorder="1"/>
    <xf numFmtId="165" fontId="12" fillId="14" borderId="46" xfId="1" applyNumberFormat="1" applyFont="1" applyFill="1" applyBorder="1"/>
    <xf numFmtId="0" fontId="8" fillId="0" borderId="0" xfId="5" applyFont="1" applyAlignment="1">
      <alignment horizontal="left" vertical="center"/>
    </xf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4" fontId="0" fillId="0" borderId="0" xfId="1" applyNumberFormat="1" applyFont="1" applyFill="1" applyBorder="1" applyAlignment="1">
      <alignment horizontal="right" indent="1"/>
    </xf>
    <xf numFmtId="10" fontId="8" fillId="0" borderId="93" xfId="1" applyNumberFormat="1" applyFont="1" applyBorder="1" applyAlignment="1">
      <alignment horizontal="right" vertical="center" wrapText="1" indent="1"/>
    </xf>
    <xf numFmtId="10" fontId="8" fillId="0" borderId="97" xfId="1" applyNumberFormat="1" applyFont="1" applyBorder="1" applyAlignment="1">
      <alignment horizontal="right" vertical="center" wrapText="1" indent="1"/>
    </xf>
    <xf numFmtId="10" fontId="5" fillId="0" borderId="41" xfId="1" applyNumberFormat="1" applyFont="1" applyBorder="1" applyAlignment="1">
      <alignment horizontal="right" vertical="center" indent="1"/>
    </xf>
    <xf numFmtId="3" fontId="8" fillId="0" borderId="0" xfId="5" applyNumberFormat="1" applyFont="1" applyAlignment="1">
      <alignment horizontal="right" vertical="center"/>
    </xf>
    <xf numFmtId="165" fontId="0" fillId="0" borderId="0" xfId="0" applyNumberFormat="1"/>
    <xf numFmtId="0" fontId="0" fillId="11" borderId="67" xfId="0" applyFill="1" applyBorder="1" applyAlignment="1">
      <alignment horizontal="center" vertical="center" wrapText="1"/>
    </xf>
    <xf numFmtId="3" fontId="0" fillId="11" borderId="68" xfId="0" applyNumberFormat="1" applyFill="1" applyBorder="1" applyAlignment="1">
      <alignment wrapText="1"/>
    </xf>
    <xf numFmtId="3" fontId="0" fillId="11" borderId="0" xfId="0" applyNumberFormat="1" applyFill="1" applyAlignment="1">
      <alignment wrapText="1"/>
    </xf>
    <xf numFmtId="10" fontId="0" fillId="11" borderId="104" xfId="1" applyNumberFormat="1" applyFont="1" applyFill="1" applyBorder="1" applyAlignment="1">
      <alignment wrapText="1"/>
    </xf>
    <xf numFmtId="3" fontId="0" fillId="11" borderId="61" xfId="0" applyNumberFormat="1" applyFill="1" applyBorder="1" applyAlignment="1">
      <alignment wrapText="1"/>
    </xf>
    <xf numFmtId="10" fontId="0" fillId="11" borderId="73" xfId="1" applyNumberFormat="1" applyFont="1" applyFill="1" applyBorder="1" applyAlignment="1">
      <alignment wrapText="1"/>
    </xf>
    <xf numFmtId="10" fontId="0" fillId="11" borderId="0" xfId="1" applyNumberFormat="1" applyFont="1" applyFill="1" applyBorder="1" applyAlignment="1">
      <alignment wrapText="1"/>
    </xf>
    <xf numFmtId="0" fontId="0" fillId="0" borderId="0" xfId="0" applyAlignment="1">
      <alignment wrapText="1"/>
    </xf>
    <xf numFmtId="0" fontId="0" fillId="13" borderId="50" xfId="0" applyFill="1" applyBorder="1" applyAlignment="1">
      <alignment horizontal="left" vertical="center" indent="1"/>
    </xf>
    <xf numFmtId="0" fontId="8" fillId="13" borderId="50" xfId="5" applyFont="1" applyFill="1" applyBorder="1" applyAlignment="1">
      <alignment horizontal="left" vertical="center" indent="1"/>
    </xf>
    <xf numFmtId="10" fontId="0" fillId="13" borderId="73" xfId="1" applyNumberFormat="1" applyFont="1" applyFill="1" applyBorder="1" applyAlignment="1"/>
    <xf numFmtId="10" fontId="0" fillId="13" borderId="0" xfId="1" applyNumberFormat="1" applyFont="1" applyFill="1" applyBorder="1" applyAlignment="1"/>
    <xf numFmtId="0" fontId="6" fillId="0" borderId="35" xfId="10" applyFont="1" applyBorder="1" applyAlignment="1">
      <alignment horizontal="left" vertical="center"/>
    </xf>
    <xf numFmtId="0" fontId="6" fillId="0" borderId="76" xfId="10" applyFont="1" applyBorder="1" applyAlignment="1">
      <alignment horizontal="left" vertical="center"/>
    </xf>
    <xf numFmtId="0" fontId="8" fillId="11" borderId="51" xfId="5" applyFont="1" applyFill="1" applyBorder="1" applyAlignment="1">
      <alignment horizontal="left" vertical="center" indent="1"/>
    </xf>
    <xf numFmtId="3" fontId="0" fillId="11" borderId="67" xfId="0" applyNumberFormat="1" applyFill="1" applyBorder="1" applyAlignment="1">
      <alignment wrapText="1"/>
    </xf>
    <xf numFmtId="3" fontId="0" fillId="0" borderId="0" xfId="0" applyNumberFormat="1" applyAlignment="1">
      <alignment wrapText="1"/>
    </xf>
    <xf numFmtId="10" fontId="0" fillId="0" borderId="0" xfId="1" applyNumberFormat="1" applyFont="1" applyFill="1" applyBorder="1" applyAlignment="1">
      <alignment wrapText="1"/>
    </xf>
    <xf numFmtId="165" fontId="12" fillId="0" borderId="0" xfId="1" applyNumberFormat="1" applyFont="1" applyFill="1" applyBorder="1"/>
    <xf numFmtId="3" fontId="12" fillId="0" borderId="57" xfId="0" applyNumberFormat="1" applyFont="1" applyBorder="1"/>
    <xf numFmtId="10" fontId="12" fillId="0" borderId="57" xfId="1" applyNumberFormat="1" applyFont="1" applyFill="1" applyBorder="1"/>
    <xf numFmtId="3" fontId="0" fillId="0" borderId="61" xfId="0" applyNumberFormat="1" applyBorder="1"/>
    <xf numFmtId="10" fontId="0" fillId="0" borderId="73" xfId="1" applyNumberFormat="1" applyFont="1" applyFill="1" applyBorder="1"/>
    <xf numFmtId="3" fontId="12" fillId="0" borderId="61" xfId="0" applyNumberFormat="1" applyFont="1" applyBorder="1"/>
    <xf numFmtId="10" fontId="12" fillId="0" borderId="73" xfId="1" applyNumberFormat="1" applyFont="1" applyFill="1" applyBorder="1"/>
    <xf numFmtId="0" fontId="0" fillId="0" borderId="57" xfId="0" applyBorder="1"/>
    <xf numFmtId="0" fontId="8" fillId="13" borderId="56" xfId="5" applyFont="1" applyFill="1" applyBorder="1" applyAlignment="1">
      <alignment horizontal="left" vertical="center" wrapText="1" indent="1"/>
    </xf>
    <xf numFmtId="10" fontId="0" fillId="0" borderId="0" xfId="1" applyNumberFormat="1" applyFont="1" applyFill="1" applyBorder="1" applyAlignment="1"/>
    <xf numFmtId="0" fontId="12" fillId="13" borderId="42" xfId="0" applyFont="1" applyFill="1" applyBorder="1" applyAlignment="1">
      <alignment horizontal="center"/>
    </xf>
    <xf numFmtId="0" fontId="8" fillId="0" borderId="0" xfId="0" applyFont="1"/>
    <xf numFmtId="0" fontId="8" fillId="0" borderId="1" xfId="8" applyFont="1" applyBorder="1" applyAlignment="1">
      <alignment horizontal="center" vertical="center"/>
    </xf>
    <xf numFmtId="0" fontId="8" fillId="0" borderId="2" xfId="5" applyFont="1" applyBorder="1" applyAlignment="1">
      <alignment horizontal="left" vertical="center" wrapText="1" indent="1"/>
    </xf>
    <xf numFmtId="3" fontId="8" fillId="0" borderId="45" xfId="1" applyNumberFormat="1" applyFont="1" applyBorder="1" applyAlignment="1">
      <alignment horizontal="right" vertical="center" wrapText="1" indent="1"/>
    </xf>
    <xf numFmtId="3" fontId="7" fillId="0" borderId="46" xfId="8" applyNumberFormat="1" applyFont="1" applyBorder="1" applyAlignment="1">
      <alignment horizontal="right" vertical="center" indent="1"/>
    </xf>
    <xf numFmtId="3" fontId="5" fillId="0" borderId="11" xfId="10" applyNumberFormat="1" applyFont="1" applyBorder="1" applyAlignment="1">
      <alignment horizontal="center" vertical="center"/>
    </xf>
    <xf numFmtId="3" fontId="0" fillId="0" borderId="0" xfId="1" applyNumberFormat="1" applyFont="1"/>
    <xf numFmtId="0" fontId="35" fillId="0" borderId="76" xfId="5" applyFont="1" applyBorder="1" applyAlignment="1">
      <alignment horizontal="left" indent="1"/>
    </xf>
    <xf numFmtId="3" fontId="35" fillId="0" borderId="34" xfId="5" applyNumberFormat="1" applyFont="1" applyBorder="1" applyAlignment="1">
      <alignment horizontal="right" vertical="center" indent="1"/>
    </xf>
    <xf numFmtId="3" fontId="35" fillId="0" borderId="76" xfId="5" applyNumberFormat="1" applyFont="1" applyBorder="1" applyAlignment="1">
      <alignment horizontal="right" vertical="center" indent="1"/>
    </xf>
    <xf numFmtId="0" fontId="35" fillId="0" borderId="0" xfId="5" applyFont="1" applyAlignment="1">
      <alignment horizontal="left" indent="1"/>
    </xf>
    <xf numFmtId="0" fontId="0" fillId="0" borderId="0" xfId="0" applyAlignment="1">
      <alignment horizontal="center" wrapText="1"/>
    </xf>
    <xf numFmtId="10" fontId="0" fillId="0" borderId="0" xfId="1" applyNumberFormat="1" applyFont="1" applyFill="1"/>
    <xf numFmtId="176" fontId="0" fillId="0" borderId="0" xfId="0" applyNumberFormat="1"/>
    <xf numFmtId="0" fontId="6" fillId="6" borderId="68" xfId="10" applyFont="1" applyFill="1" applyBorder="1" applyAlignment="1">
      <alignment vertical="center"/>
    </xf>
    <xf numFmtId="3" fontId="21" fillId="0" borderId="57" xfId="10" applyNumberFormat="1" applyFont="1" applyBorder="1" applyAlignment="1">
      <alignment horizontal="right" vertical="center"/>
    </xf>
    <xf numFmtId="3" fontId="21" fillId="0" borderId="68" xfId="10" applyNumberFormat="1" applyFont="1" applyBorder="1" applyAlignment="1">
      <alignment horizontal="right" vertical="center"/>
    </xf>
    <xf numFmtId="0" fontId="20" fillId="0" borderId="57" xfId="3" applyFont="1" applyBorder="1" applyAlignment="1">
      <alignment horizontal="right"/>
    </xf>
    <xf numFmtId="166" fontId="20" fillId="0" borderId="68" xfId="10" applyNumberFormat="1" applyFont="1" applyBorder="1" applyAlignment="1">
      <alignment horizontal="right" vertical="center"/>
    </xf>
    <xf numFmtId="0" fontId="6" fillId="6" borderId="57" xfId="10" applyFont="1" applyFill="1" applyBorder="1" applyAlignment="1">
      <alignment vertical="center"/>
    </xf>
    <xf numFmtId="3" fontId="27" fillId="8" borderId="111" xfId="10" applyNumberFormat="1" applyFont="1" applyFill="1" applyBorder="1" applyAlignment="1">
      <alignment horizontal="right" vertical="center"/>
    </xf>
    <xf numFmtId="0" fontId="22" fillId="6" borderId="45" xfId="10" applyFont="1" applyFill="1" applyBorder="1" applyAlignment="1">
      <alignment vertical="center" wrapText="1"/>
    </xf>
    <xf numFmtId="0" fontId="29" fillId="0" borderId="72" xfId="10" applyFont="1" applyBorder="1" applyAlignment="1">
      <alignment vertical="center"/>
    </xf>
    <xf numFmtId="3" fontId="28" fillId="0" borderId="72" xfId="10" applyNumberFormat="1" applyFont="1" applyBorder="1" applyAlignment="1">
      <alignment horizontal="right" vertical="center"/>
    </xf>
    <xf numFmtId="166" fontId="28" fillId="0" borderId="72" xfId="10" applyNumberFormat="1" applyFont="1" applyBorder="1" applyAlignment="1">
      <alignment horizontal="right" vertical="center"/>
    </xf>
    <xf numFmtId="3" fontId="8" fillId="0" borderId="72" xfId="10" applyNumberFormat="1" applyFont="1" applyBorder="1" applyAlignment="1">
      <alignment horizontal="right" vertical="center"/>
    </xf>
    <xf numFmtId="3" fontId="21" fillId="0" borderId="0" xfId="10" applyNumberFormat="1" applyFont="1" applyAlignment="1">
      <alignment horizontal="right" vertical="center"/>
    </xf>
    <xf numFmtId="166" fontId="20" fillId="0" borderId="0" xfId="10" applyNumberFormat="1" applyFont="1" applyAlignment="1">
      <alignment horizontal="right" vertical="center"/>
    </xf>
    <xf numFmtId="0" fontId="17" fillId="6" borderId="5" xfId="10" applyFont="1" applyFill="1" applyBorder="1" applyAlignment="1">
      <alignment vertical="center"/>
    </xf>
    <xf numFmtId="0" fontId="17" fillId="6" borderId="52" xfId="10" applyFont="1" applyFill="1" applyBorder="1" applyAlignment="1">
      <alignment vertical="center"/>
    </xf>
    <xf numFmtId="3" fontId="8" fillId="8" borderId="106" xfId="10" applyNumberFormat="1" applyFont="1" applyFill="1" applyBorder="1" applyAlignment="1">
      <alignment horizontal="right" vertical="center"/>
    </xf>
    <xf numFmtId="3" fontId="8" fillId="7" borderId="107" xfId="10" applyNumberFormat="1" applyFont="1" applyFill="1" applyBorder="1" applyAlignment="1">
      <alignment horizontal="right" vertical="center"/>
    </xf>
    <xf numFmtId="166" fontId="20" fillId="6" borderId="15" xfId="10" applyNumberFormat="1" applyFont="1" applyFill="1" applyBorder="1" applyAlignment="1">
      <alignment horizontal="right" vertical="center"/>
    </xf>
    <xf numFmtId="0" fontId="17" fillId="6" borderId="60" xfId="10" applyFont="1" applyFill="1" applyBorder="1" applyAlignment="1">
      <alignment vertical="center"/>
    </xf>
    <xf numFmtId="0" fontId="17" fillId="6" borderId="35" xfId="10" applyFont="1" applyFill="1" applyBorder="1" applyAlignment="1">
      <alignment vertical="center"/>
    </xf>
    <xf numFmtId="0" fontId="17" fillId="6" borderId="38" xfId="10" applyFont="1" applyFill="1" applyBorder="1" applyAlignment="1">
      <alignment vertical="center"/>
    </xf>
    <xf numFmtId="1" fontId="5" fillId="0" borderId="0" xfId="10" applyNumberFormat="1" applyFont="1" applyAlignment="1">
      <alignment horizontal="center" vertical="center"/>
    </xf>
    <xf numFmtId="1" fontId="18" fillId="0" borderId="0" xfId="10" applyNumberFormat="1" applyFont="1" applyAlignment="1">
      <alignment horizontal="center" vertical="center"/>
    </xf>
    <xf numFmtId="1" fontId="7" fillId="0" borderId="0" xfId="10" applyNumberFormat="1" applyFont="1" applyAlignment="1">
      <alignment horizontal="center" vertical="center"/>
    </xf>
    <xf numFmtId="3" fontId="23" fillId="0" borderId="68" xfId="10" applyNumberFormat="1" applyFont="1" applyBorder="1" applyAlignment="1">
      <alignment horizontal="center" vertical="center"/>
    </xf>
    <xf numFmtId="10" fontId="20" fillId="6" borderId="68" xfId="10" applyNumberFormat="1" applyFont="1" applyFill="1" applyBorder="1" applyAlignment="1">
      <alignment horizontal="center" vertical="center"/>
    </xf>
    <xf numFmtId="0" fontId="20" fillId="6" borderId="68" xfId="10" applyFont="1" applyFill="1" applyBorder="1" applyAlignment="1">
      <alignment vertical="center"/>
    </xf>
    <xf numFmtId="0" fontId="17" fillId="6" borderId="76" xfId="10" applyFont="1" applyFill="1" applyBorder="1" applyAlignment="1">
      <alignment vertical="center"/>
    </xf>
    <xf numFmtId="3" fontId="23" fillId="8" borderId="77" xfId="10" applyNumberFormat="1" applyFont="1" applyFill="1" applyBorder="1" applyAlignment="1">
      <alignment horizontal="right" vertical="center"/>
    </xf>
    <xf numFmtId="166" fontId="20" fillId="6" borderId="36" xfId="10" applyNumberFormat="1" applyFont="1" applyFill="1" applyBorder="1" applyAlignment="1">
      <alignment horizontal="right" vertical="center"/>
    </xf>
    <xf numFmtId="3" fontId="23" fillId="7" borderId="78" xfId="10" applyNumberFormat="1" applyFont="1" applyFill="1" applyBorder="1" applyAlignment="1">
      <alignment horizontal="right" vertical="center"/>
    </xf>
    <xf numFmtId="0" fontId="24" fillId="6" borderId="2" xfId="10" applyFont="1" applyFill="1" applyBorder="1" applyAlignment="1">
      <alignment vertical="center" wrapText="1"/>
    </xf>
    <xf numFmtId="3" fontId="27" fillId="7" borderId="90" xfId="10" applyNumberFormat="1" applyFont="1" applyFill="1" applyBorder="1" applyAlignment="1">
      <alignment horizontal="right" vertical="center"/>
    </xf>
    <xf numFmtId="166" fontId="20" fillId="6" borderId="58" xfId="10" applyNumberFormat="1" applyFont="1" applyFill="1" applyBorder="1" applyAlignment="1">
      <alignment horizontal="right" vertical="center"/>
    </xf>
    <xf numFmtId="0" fontId="17" fillId="6" borderId="11" xfId="10" applyFont="1" applyFill="1" applyBorder="1" applyAlignment="1">
      <alignment vertical="center"/>
    </xf>
    <xf numFmtId="166" fontId="20" fillId="0" borderId="9" xfId="10" applyNumberFormat="1" applyFont="1" applyBorder="1" applyAlignment="1">
      <alignment horizontal="right" vertical="center"/>
    </xf>
    <xf numFmtId="0" fontId="17" fillId="6" borderId="32" xfId="10" applyFont="1" applyFill="1" applyBorder="1" applyAlignment="1">
      <alignment vertical="center"/>
    </xf>
    <xf numFmtId="3" fontId="8" fillId="8" borderId="69" xfId="10" applyNumberFormat="1" applyFont="1" applyFill="1" applyBorder="1" applyAlignment="1">
      <alignment horizontal="right" vertical="center"/>
    </xf>
    <xf numFmtId="3" fontId="8" fillId="7" borderId="71" xfId="10" applyNumberFormat="1" applyFont="1" applyFill="1" applyBorder="1" applyAlignment="1">
      <alignment horizontal="right" vertical="center"/>
    </xf>
    <xf numFmtId="3" fontId="8" fillId="8" borderId="64" xfId="10" applyNumberFormat="1" applyFont="1" applyFill="1" applyBorder="1" applyAlignment="1">
      <alignment horizontal="right" vertical="center"/>
    </xf>
    <xf numFmtId="166" fontId="20" fillId="0" borderId="36" xfId="10" applyNumberFormat="1" applyFont="1" applyBorder="1" applyAlignment="1">
      <alignment horizontal="right" vertical="center"/>
    </xf>
    <xf numFmtId="0" fontId="17" fillId="6" borderId="7" xfId="10" applyFont="1" applyFill="1" applyBorder="1" applyAlignment="1">
      <alignment vertical="center"/>
    </xf>
    <xf numFmtId="0" fontId="17" fillId="6" borderId="8" xfId="10" applyFont="1" applyFill="1" applyBorder="1" applyAlignment="1">
      <alignment vertical="center"/>
    </xf>
    <xf numFmtId="0" fontId="17" fillId="6" borderId="24" xfId="10" applyFont="1" applyFill="1" applyBorder="1" applyAlignment="1">
      <alignment vertical="center"/>
    </xf>
    <xf numFmtId="0" fontId="17" fillId="6" borderId="79" xfId="10" applyFont="1" applyFill="1" applyBorder="1" applyAlignment="1">
      <alignment vertical="center"/>
    </xf>
    <xf numFmtId="0" fontId="17" fillId="0" borderId="79" xfId="10" applyFont="1" applyBorder="1" applyAlignment="1">
      <alignment vertical="center"/>
    </xf>
    <xf numFmtId="166" fontId="20" fillId="0" borderId="29" xfId="10" applyNumberFormat="1" applyFont="1" applyBorder="1" applyAlignment="1">
      <alignment horizontal="right" vertical="center"/>
    </xf>
    <xf numFmtId="0" fontId="6" fillId="0" borderId="18" xfId="10" applyFont="1" applyBorder="1" applyAlignment="1">
      <alignment horizontal="left" vertical="center"/>
    </xf>
    <xf numFmtId="0" fontId="6" fillId="0" borderId="88" xfId="10" applyFont="1" applyBorder="1" applyAlignment="1">
      <alignment horizontal="left" vertical="center"/>
    </xf>
    <xf numFmtId="166" fontId="20" fillId="6" borderId="47" xfId="10" applyNumberFormat="1" applyFont="1" applyFill="1" applyBorder="1" applyAlignment="1">
      <alignment horizontal="right" vertical="center"/>
    </xf>
    <xf numFmtId="0" fontId="3" fillId="6" borderId="0" xfId="10" applyFont="1" applyFill="1" applyAlignment="1">
      <alignment vertical="center" wrapText="1"/>
    </xf>
    <xf numFmtId="3" fontId="6" fillId="6" borderId="0" xfId="10" applyNumberFormat="1" applyFont="1" applyFill="1" applyAlignment="1">
      <alignment horizontal="center" vertical="center"/>
    </xf>
    <xf numFmtId="3" fontId="7" fillId="2" borderId="105" xfId="8" applyNumberFormat="1" applyFont="1" applyFill="1" applyBorder="1" applyAlignment="1">
      <alignment horizontal="right" vertical="center" indent="1"/>
    </xf>
    <xf numFmtId="3" fontId="7" fillId="3" borderId="108" xfId="8" applyNumberFormat="1" applyFont="1" applyFill="1" applyBorder="1" applyAlignment="1">
      <alignment horizontal="right" vertical="center" indent="1"/>
    </xf>
    <xf numFmtId="3" fontId="7" fillId="2" borderId="108" xfId="8" applyNumberFormat="1" applyFont="1" applyFill="1" applyBorder="1" applyAlignment="1">
      <alignment horizontal="right" vertical="center" indent="1"/>
    </xf>
    <xf numFmtId="3" fontId="7" fillId="4" borderId="108" xfId="8" applyNumberFormat="1" applyFont="1" applyFill="1" applyBorder="1" applyAlignment="1">
      <alignment horizontal="right" vertical="center" indent="1"/>
    </xf>
    <xf numFmtId="3" fontId="7" fillId="5" borderId="108" xfId="8" applyNumberFormat="1" applyFont="1" applyFill="1" applyBorder="1" applyAlignment="1">
      <alignment horizontal="right" vertical="center" indent="1"/>
    </xf>
    <xf numFmtId="3" fontId="7" fillId="5" borderId="110" xfId="8" applyNumberFormat="1" applyFont="1" applyFill="1" applyBorder="1" applyAlignment="1">
      <alignment horizontal="right" vertical="center" indent="1"/>
    </xf>
    <xf numFmtId="0" fontId="8" fillId="0" borderId="0" xfId="8" applyFont="1" applyAlignment="1">
      <alignment horizontal="left" indent="8"/>
    </xf>
    <xf numFmtId="0" fontId="5" fillId="0" borderId="46" xfId="0" applyFont="1" applyBorder="1" applyAlignment="1">
      <alignment horizontal="center" vertical="center" wrapText="1"/>
    </xf>
    <xf numFmtId="3" fontId="8" fillId="0" borderId="108" xfId="1" applyNumberFormat="1" applyFont="1" applyBorder="1" applyAlignment="1">
      <alignment horizontal="right" vertical="center" indent="1"/>
    </xf>
    <xf numFmtId="3" fontId="8" fillId="6" borderId="108" xfId="1" applyNumberFormat="1" applyFont="1" applyFill="1" applyBorder="1" applyAlignment="1">
      <alignment horizontal="right" vertical="center" indent="1"/>
    </xf>
    <xf numFmtId="3" fontId="8" fillId="6" borderId="110" xfId="1" applyNumberFormat="1" applyFont="1" applyFill="1" applyBorder="1" applyAlignment="1">
      <alignment horizontal="right" vertical="center" indent="1"/>
    </xf>
    <xf numFmtId="3" fontId="5" fillId="6" borderId="46" xfId="1" applyNumberFormat="1" applyFont="1" applyFill="1" applyBorder="1" applyAlignment="1">
      <alignment horizontal="right" vertical="center" indent="1"/>
    </xf>
    <xf numFmtId="3" fontId="8" fillId="0" borderId="12" xfId="8" applyNumberFormat="1" applyFont="1" applyBorder="1" applyAlignment="1">
      <alignment horizontal="right" vertical="center" indent="1"/>
    </xf>
    <xf numFmtId="3" fontId="8" fillId="0" borderId="19" xfId="8" applyNumberFormat="1" applyFont="1" applyBorder="1" applyAlignment="1">
      <alignment horizontal="right" vertical="center" indent="1"/>
    </xf>
    <xf numFmtId="3" fontId="8" fillId="0" borderId="37" xfId="8" applyNumberFormat="1" applyFont="1" applyBorder="1" applyAlignment="1">
      <alignment horizontal="right" vertical="center" indent="1"/>
    </xf>
    <xf numFmtId="3" fontId="7" fillId="0" borderId="4" xfId="8" applyNumberFormat="1" applyFont="1" applyBorder="1" applyAlignment="1">
      <alignment horizontal="right" vertical="center" indent="1"/>
    </xf>
    <xf numFmtId="0" fontId="17" fillId="0" borderId="0" xfId="10" applyFont="1" applyAlignment="1">
      <alignment vertical="center"/>
    </xf>
    <xf numFmtId="0" fontId="17" fillId="0" borderId="113" xfId="10" applyFont="1" applyBorder="1" applyAlignment="1">
      <alignment vertical="center"/>
    </xf>
    <xf numFmtId="0" fontId="17" fillId="0" borderId="8" xfId="10" applyFont="1" applyBorder="1" applyAlignment="1">
      <alignment vertical="center"/>
    </xf>
    <xf numFmtId="0" fontId="17" fillId="0" borderId="112" xfId="10" applyFont="1" applyBorder="1" applyAlignment="1">
      <alignment vertical="center"/>
    </xf>
    <xf numFmtId="0" fontId="17" fillId="0" borderId="114" xfId="10" applyFont="1" applyBorder="1" applyAlignment="1">
      <alignment vertical="center"/>
    </xf>
    <xf numFmtId="9" fontId="0" fillId="0" borderId="0" xfId="0" applyNumberFormat="1"/>
    <xf numFmtId="0" fontId="7" fillId="0" borderId="14" xfId="0" applyFont="1" applyBorder="1"/>
    <xf numFmtId="3" fontId="7" fillId="0" borderId="14" xfId="0" applyNumberFormat="1" applyFont="1" applyBorder="1"/>
    <xf numFmtId="0" fontId="8" fillId="0" borderId="14" xfId="0" applyFont="1" applyBorder="1"/>
    <xf numFmtId="3" fontId="8" fillId="0" borderId="14" xfId="0" applyNumberFormat="1" applyFont="1" applyBorder="1"/>
    <xf numFmtId="0" fontId="7" fillId="0" borderId="2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16" borderId="19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wrapText="1"/>
    </xf>
    <xf numFmtId="0" fontId="7" fillId="0" borderId="23" xfId="0" applyFont="1" applyBorder="1" applyAlignment="1">
      <alignment horizontal="center" wrapText="1"/>
    </xf>
    <xf numFmtId="0" fontId="7" fillId="15" borderId="23" xfId="0" applyFont="1" applyFill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8" fillId="0" borderId="22" xfId="0" applyFont="1" applyBorder="1" applyAlignment="1">
      <alignment horizontal="center"/>
    </xf>
    <xf numFmtId="0" fontId="35" fillId="0" borderId="23" xfId="0" applyFont="1" applyBorder="1" applyAlignment="1">
      <alignment horizontal="center"/>
    </xf>
    <xf numFmtId="0" fontId="8" fillId="16" borderId="26" xfId="0" applyFont="1" applyFill="1" applyBorder="1" applyAlignment="1">
      <alignment horizontal="center"/>
    </xf>
    <xf numFmtId="0" fontId="8" fillId="0" borderId="18" xfId="5" applyFont="1" applyBorder="1" applyAlignment="1">
      <alignment horizontal="left" vertical="center"/>
    </xf>
    <xf numFmtId="3" fontId="8" fillId="0" borderId="43" xfId="1" applyNumberFormat="1" applyFont="1" applyBorder="1" applyAlignment="1">
      <alignment horizontal="right" vertical="center" wrapText="1" indent="1"/>
    </xf>
    <xf numFmtId="3" fontId="8" fillId="0" borderId="17" xfId="1" applyNumberFormat="1" applyFont="1" applyBorder="1" applyAlignment="1">
      <alignment horizontal="right" vertical="center" wrapText="1" indent="1"/>
    </xf>
    <xf numFmtId="3" fontId="8" fillId="0" borderId="17" xfId="0" applyNumberFormat="1" applyFont="1" applyBorder="1"/>
    <xf numFmtId="3" fontId="8" fillId="15" borderId="17" xfId="0" applyNumberFormat="1" applyFont="1" applyFill="1" applyBorder="1"/>
    <xf numFmtId="3" fontId="8" fillId="0" borderId="18" xfId="0" applyNumberFormat="1" applyFont="1" applyBorder="1"/>
    <xf numFmtId="3" fontId="8" fillId="0" borderId="43" xfId="0" applyNumberFormat="1" applyFont="1" applyBorder="1"/>
    <xf numFmtId="3" fontId="8" fillId="16" borderId="12" xfId="0" applyNumberFormat="1" applyFont="1" applyFill="1" applyBorder="1"/>
    <xf numFmtId="3" fontId="8" fillId="0" borderId="20" xfId="1" applyNumberFormat="1" applyFont="1" applyBorder="1" applyAlignment="1">
      <alignment horizontal="right" vertical="center" wrapText="1" indent="1"/>
    </xf>
    <xf numFmtId="3" fontId="8" fillId="0" borderId="14" xfId="1" applyNumberFormat="1" applyFont="1" applyBorder="1" applyAlignment="1">
      <alignment horizontal="right" vertical="center" wrapText="1" indent="1"/>
    </xf>
    <xf numFmtId="3" fontId="8" fillId="15" borderId="14" xfId="0" applyNumberFormat="1" applyFont="1" applyFill="1" applyBorder="1"/>
    <xf numFmtId="3" fontId="8" fillId="0" borderId="21" xfId="0" applyNumberFormat="1" applyFont="1" applyBorder="1"/>
    <xf numFmtId="3" fontId="8" fillId="0" borderId="20" xfId="0" applyNumberFormat="1" applyFont="1" applyBorder="1"/>
    <xf numFmtId="3" fontId="8" fillId="16" borderId="19" xfId="0" applyNumberFormat="1" applyFont="1" applyFill="1" applyBorder="1"/>
    <xf numFmtId="0" fontId="8" fillId="0" borderId="21" xfId="5" applyFont="1" applyBorder="1" applyAlignment="1">
      <alignment horizontal="left" vertical="center"/>
    </xf>
    <xf numFmtId="0" fontId="8" fillId="0" borderId="35" xfId="5" applyFont="1" applyBorder="1" applyAlignment="1">
      <alignment horizontal="left" vertical="center"/>
    </xf>
    <xf numFmtId="3" fontId="8" fillId="0" borderId="33" xfId="1" applyNumberFormat="1" applyFont="1" applyBorder="1" applyAlignment="1">
      <alignment horizontal="right" vertical="center" wrapText="1" indent="1"/>
    </xf>
    <xf numFmtId="3" fontId="8" fillId="0" borderId="34" xfId="1" applyNumberFormat="1" applyFont="1" applyBorder="1" applyAlignment="1">
      <alignment horizontal="right" vertical="center" wrapText="1" indent="1"/>
    </xf>
    <xf numFmtId="3" fontId="8" fillId="0" borderId="34" xfId="0" applyNumberFormat="1" applyFont="1" applyBorder="1"/>
    <xf numFmtId="3" fontId="8" fillId="15" borderId="34" xfId="0" applyNumberFormat="1" applyFont="1" applyFill="1" applyBorder="1"/>
    <xf numFmtId="3" fontId="8" fillId="0" borderId="35" xfId="0" applyNumberFormat="1" applyFont="1" applyBorder="1"/>
    <xf numFmtId="3" fontId="8" fillId="0" borderId="33" xfId="0" applyNumberFormat="1" applyFont="1" applyBorder="1"/>
    <xf numFmtId="3" fontId="8" fillId="16" borderId="37" xfId="0" applyNumberFormat="1" applyFont="1" applyFill="1" applyBorder="1"/>
    <xf numFmtId="0" fontId="7" fillId="0" borderId="42" xfId="8" applyFont="1" applyBorder="1" applyAlignment="1">
      <alignment vertical="center"/>
    </xf>
    <xf numFmtId="0" fontId="7" fillId="0" borderId="72" xfId="8" applyFont="1" applyBorder="1" applyAlignment="1">
      <alignment vertical="center"/>
    </xf>
    <xf numFmtId="3" fontId="7" fillId="0" borderId="1" xfId="1" applyNumberFormat="1" applyFont="1" applyBorder="1" applyAlignment="1">
      <alignment horizontal="right" indent="1"/>
    </xf>
    <xf numFmtId="3" fontId="7" fillId="0" borderId="2" xfId="1" applyNumberFormat="1" applyFont="1" applyBorder="1" applyAlignment="1">
      <alignment horizontal="right" indent="1"/>
    </xf>
    <xf numFmtId="3" fontId="7" fillId="0" borderId="2" xfId="0" applyNumberFormat="1" applyFont="1" applyBorder="1"/>
    <xf numFmtId="3" fontId="7" fillId="15" borderId="2" xfId="0" applyNumberFormat="1" applyFont="1" applyFill="1" applyBorder="1"/>
    <xf numFmtId="3" fontId="7" fillId="0" borderId="3" xfId="0" applyNumberFormat="1" applyFont="1" applyBorder="1"/>
    <xf numFmtId="3" fontId="7" fillId="0" borderId="1" xfId="0" applyNumberFormat="1" applyFont="1" applyBorder="1"/>
    <xf numFmtId="3" fontId="7" fillId="16" borderId="4" xfId="0" applyNumberFormat="1" applyFont="1" applyFill="1" applyBorder="1"/>
    <xf numFmtId="0" fontId="8" fillId="0" borderId="0" xfId="0" applyFont="1" applyAlignment="1">
      <alignment horizontal="right" indent="1"/>
    </xf>
    <xf numFmtId="3" fontId="8" fillId="0" borderId="0" xfId="0" applyNumberFormat="1" applyFont="1"/>
    <xf numFmtId="0" fontId="0" fillId="0" borderId="0" xfId="0" applyAlignment="1">
      <alignment horizontal="left" indent="1"/>
    </xf>
    <xf numFmtId="165" fontId="0" fillId="0" borderId="0" xfId="1" applyNumberFormat="1" applyFont="1"/>
    <xf numFmtId="177" fontId="0" fillId="0" borderId="0" xfId="0" applyNumberFormat="1"/>
    <xf numFmtId="0" fontId="14" fillId="6" borderId="1" xfId="10" applyFont="1" applyFill="1" applyBorder="1" applyAlignment="1">
      <alignment horizontal="center" vertical="center"/>
    </xf>
    <xf numFmtId="0" fontId="14" fillId="6" borderId="2" xfId="10" applyFont="1" applyFill="1" applyBorder="1" applyAlignment="1">
      <alignment horizontal="center" vertical="center"/>
    </xf>
    <xf numFmtId="0" fontId="14" fillId="6" borderId="5" xfId="10" applyFont="1" applyFill="1" applyBorder="1" applyAlignment="1">
      <alignment horizontal="center" vertical="center"/>
    </xf>
    <xf numFmtId="0" fontId="14" fillId="6" borderId="52" xfId="10" applyFont="1" applyFill="1" applyBorder="1" applyAlignment="1">
      <alignment horizontal="center" vertical="center"/>
    </xf>
    <xf numFmtId="0" fontId="5" fillId="6" borderId="7" xfId="10" applyFont="1" applyFill="1" applyBorder="1" applyAlignment="1">
      <alignment horizontal="left" vertical="center" wrapText="1"/>
    </xf>
    <xf numFmtId="0" fontId="5" fillId="6" borderId="8" xfId="10" applyFont="1" applyFill="1" applyBorder="1" applyAlignment="1">
      <alignment horizontal="left" vertical="center" wrapText="1"/>
    </xf>
    <xf numFmtId="0" fontId="5" fillId="6" borderId="9" xfId="10" applyFont="1" applyFill="1" applyBorder="1" applyAlignment="1">
      <alignment horizontal="left" vertical="center" wrapText="1"/>
    </xf>
    <xf numFmtId="0" fontId="5" fillId="6" borderId="13" xfId="11" applyFont="1" applyFill="1" applyBorder="1" applyAlignment="1">
      <alignment horizontal="left" vertical="center" wrapText="1"/>
    </xf>
    <xf numFmtId="0" fontId="5" fillId="6" borderId="10" xfId="11" applyFont="1" applyFill="1" applyBorder="1" applyAlignment="1">
      <alignment horizontal="left" vertical="center" wrapText="1"/>
    </xf>
    <xf numFmtId="0" fontId="17" fillId="6" borderId="0" xfId="10" applyFont="1" applyFill="1" applyAlignment="1">
      <alignment horizontal="left" vertical="center"/>
    </xf>
    <xf numFmtId="0" fontId="5" fillId="0" borderId="5" xfId="10" applyFont="1" applyBorder="1" applyAlignment="1">
      <alignment horizontal="center" vertical="center" textRotation="90" wrapText="1"/>
    </xf>
    <xf numFmtId="0" fontId="5" fillId="0" borderId="27" xfId="10" applyFont="1" applyBorder="1" applyAlignment="1">
      <alignment horizontal="center" vertical="center" textRotation="90" wrapText="1"/>
    </xf>
    <xf numFmtId="0" fontId="5" fillId="0" borderId="38" xfId="10" applyFont="1" applyBorder="1" applyAlignment="1">
      <alignment horizontal="center" vertical="center" textRotation="90" wrapText="1"/>
    </xf>
    <xf numFmtId="0" fontId="5" fillId="0" borderId="55" xfId="10" applyFont="1" applyBorder="1" applyAlignment="1">
      <alignment horizontal="center" vertical="center" textRotation="90" wrapText="1"/>
    </xf>
    <xf numFmtId="0" fontId="5" fillId="0" borderId="60" xfId="10" applyFont="1" applyBorder="1" applyAlignment="1">
      <alignment horizontal="center" vertical="center" textRotation="90" wrapText="1"/>
    </xf>
    <xf numFmtId="0" fontId="5" fillId="0" borderId="32" xfId="10" applyFont="1" applyBorder="1" applyAlignment="1">
      <alignment horizontal="center" vertical="center" textRotation="90" wrapText="1"/>
    </xf>
    <xf numFmtId="0" fontId="5" fillId="0" borderId="56" xfId="10" applyFont="1" applyBorder="1" applyAlignment="1">
      <alignment horizontal="center" vertical="center" wrapText="1"/>
    </xf>
    <xf numFmtId="0" fontId="5" fillId="0" borderId="57" xfId="10" applyFont="1" applyBorder="1" applyAlignment="1">
      <alignment horizontal="center" vertical="center" wrapText="1"/>
    </xf>
    <xf numFmtId="0" fontId="5" fillId="0" borderId="58" xfId="10" applyFont="1" applyBorder="1" applyAlignment="1">
      <alignment horizontal="center" vertical="center" wrapText="1"/>
    </xf>
    <xf numFmtId="0" fontId="5" fillId="0" borderId="61" xfId="10" applyFont="1" applyBorder="1" applyAlignment="1">
      <alignment horizontal="center" vertical="center" wrapText="1"/>
    </xf>
    <xf numFmtId="0" fontId="5" fillId="0" borderId="0" xfId="10" applyFont="1" applyAlignment="1">
      <alignment horizontal="center" vertical="center" wrapText="1"/>
    </xf>
    <xf numFmtId="0" fontId="5" fillId="0" borderId="62" xfId="10" applyFont="1" applyBorder="1" applyAlignment="1">
      <alignment horizontal="center" vertical="center" wrapText="1"/>
    </xf>
    <xf numFmtId="0" fontId="5" fillId="0" borderId="67" xfId="10" applyFont="1" applyBorder="1" applyAlignment="1">
      <alignment horizontal="center" vertical="center" wrapText="1"/>
    </xf>
    <xf numFmtId="0" fontId="5" fillId="0" borderId="68" xfId="10" applyFont="1" applyBorder="1" applyAlignment="1">
      <alignment horizontal="center" vertical="center" wrapText="1"/>
    </xf>
    <xf numFmtId="0" fontId="5" fillId="0" borderId="29" xfId="10" applyFont="1" applyBorder="1" applyAlignment="1">
      <alignment horizontal="center" vertical="center" wrapText="1"/>
    </xf>
    <xf numFmtId="0" fontId="5" fillId="6" borderId="53" xfId="11" applyFont="1" applyFill="1" applyBorder="1" applyAlignment="1">
      <alignment horizontal="left" vertical="center" wrapText="1"/>
    </xf>
    <xf numFmtId="0" fontId="5" fillId="6" borderId="54" xfId="11" applyFont="1" applyFill="1" applyBorder="1" applyAlignment="1">
      <alignment horizontal="left" vertical="center" wrapText="1"/>
    </xf>
    <xf numFmtId="0" fontId="5" fillId="6" borderId="16" xfId="11" applyFont="1" applyFill="1" applyBorder="1" applyAlignment="1">
      <alignment horizontal="left" vertical="center" wrapText="1"/>
    </xf>
    <xf numFmtId="0" fontId="5" fillId="6" borderId="20" xfId="10" applyFont="1" applyFill="1" applyBorder="1" applyAlignment="1">
      <alignment horizontal="left" vertical="center" wrapText="1"/>
    </xf>
    <xf numFmtId="0" fontId="5" fillId="6" borderId="14" xfId="10" applyFont="1" applyFill="1" applyBorder="1" applyAlignment="1">
      <alignment horizontal="left" vertical="center" wrapText="1"/>
    </xf>
    <xf numFmtId="0" fontId="6" fillId="0" borderId="0" xfId="10" applyFont="1" applyAlignment="1">
      <alignment horizontal="left" vertical="center"/>
    </xf>
    <xf numFmtId="0" fontId="14" fillId="6" borderId="3" xfId="10" applyFont="1" applyFill="1" applyBorder="1" applyAlignment="1">
      <alignment horizontal="left" vertical="center"/>
    </xf>
    <xf numFmtId="0" fontId="14" fillId="6" borderId="72" xfId="10" applyFont="1" applyFill="1" applyBorder="1" applyAlignment="1">
      <alignment horizontal="left" vertical="center"/>
    </xf>
    <xf numFmtId="0" fontId="6" fillId="0" borderId="11" xfId="10" applyFont="1" applyBorder="1" applyAlignment="1">
      <alignment horizontal="left" vertical="center"/>
    </xf>
    <xf numFmtId="0" fontId="6" fillId="0" borderId="8" xfId="10" applyFont="1" applyBorder="1" applyAlignment="1">
      <alignment horizontal="left" vertical="center"/>
    </xf>
    <xf numFmtId="0" fontId="6" fillId="0" borderId="21" xfId="10" applyFont="1" applyBorder="1" applyAlignment="1">
      <alignment horizontal="left" vertical="center"/>
    </xf>
    <xf numFmtId="0" fontId="6" fillId="0" borderId="54" xfId="10" applyFont="1" applyBorder="1" applyAlignment="1">
      <alignment horizontal="left" vertical="center"/>
    </xf>
    <xf numFmtId="0" fontId="6" fillId="0" borderId="24" xfId="10" applyFont="1" applyBorder="1" applyAlignment="1">
      <alignment horizontal="left" vertical="center"/>
    </xf>
    <xf numFmtId="0" fontId="6" fillId="0" borderId="79" xfId="10" applyFont="1" applyBorder="1" applyAlignment="1">
      <alignment horizontal="left" vertical="center"/>
    </xf>
    <xf numFmtId="0" fontId="22" fillId="6" borderId="3" xfId="10" applyFont="1" applyFill="1" applyBorder="1" applyAlignment="1">
      <alignment horizontal="left" vertical="center"/>
    </xf>
    <xf numFmtId="0" fontId="22" fillId="6" borderId="72" xfId="10" applyFont="1" applyFill="1" applyBorder="1" applyAlignment="1">
      <alignment horizontal="left" vertical="center"/>
    </xf>
    <xf numFmtId="0" fontId="17" fillId="6" borderId="52" xfId="10" applyFont="1" applyFill="1" applyBorder="1" applyAlignment="1">
      <alignment horizontal="center" vertical="center"/>
    </xf>
    <xf numFmtId="0" fontId="17" fillId="6" borderId="30" xfId="10" applyFont="1" applyFill="1" applyBorder="1" applyAlignment="1">
      <alignment horizontal="center" vertical="center"/>
    </xf>
    <xf numFmtId="0" fontId="17" fillId="6" borderId="63" xfId="10" applyFont="1" applyFill="1" applyBorder="1" applyAlignment="1">
      <alignment horizontal="center" vertical="center"/>
    </xf>
    <xf numFmtId="0" fontId="3" fillId="6" borderId="0" xfId="10" applyFont="1" applyFill="1" applyAlignment="1">
      <alignment horizontal="center" vertical="center" wrapText="1"/>
    </xf>
    <xf numFmtId="0" fontId="5" fillId="0" borderId="14" xfId="10" applyFont="1" applyBorder="1" applyAlignment="1">
      <alignment horizontal="left" vertical="center"/>
    </xf>
    <xf numFmtId="10" fontId="18" fillId="0" borderId="58" xfId="10" applyNumberFormat="1" applyFont="1" applyBorder="1" applyAlignment="1">
      <alignment horizontal="center" vertical="center" wrapText="1"/>
    </xf>
    <xf numFmtId="10" fontId="18" fillId="0" borderId="62" xfId="10" applyNumberFormat="1" applyFont="1" applyBorder="1" applyAlignment="1">
      <alignment horizontal="center" vertical="center" wrapText="1"/>
    </xf>
    <xf numFmtId="10" fontId="18" fillId="0" borderId="29" xfId="10" applyNumberFormat="1" applyFont="1" applyBorder="1" applyAlignment="1">
      <alignment horizontal="center" vertical="center" wrapText="1"/>
    </xf>
    <xf numFmtId="49" fontId="18" fillId="0" borderId="15" xfId="10" applyNumberFormat="1" applyFont="1" applyBorder="1" applyAlignment="1">
      <alignment horizontal="center" vertical="center" wrapText="1"/>
    </xf>
    <xf numFmtId="49" fontId="18" fillId="0" borderId="19" xfId="10" applyNumberFormat="1" applyFont="1" applyBorder="1" applyAlignment="1">
      <alignment horizontal="center" vertical="center" wrapText="1"/>
    </xf>
    <xf numFmtId="49" fontId="18" fillId="0" borderId="26" xfId="10" applyNumberFormat="1" applyFont="1" applyBorder="1" applyAlignment="1">
      <alignment horizontal="center" vertical="center" wrapText="1"/>
    </xf>
    <xf numFmtId="1" fontId="5" fillId="0" borderId="0" xfId="10" applyNumberFormat="1" applyFont="1" applyAlignment="1">
      <alignment horizontal="center" vertical="center"/>
    </xf>
    <xf numFmtId="0" fontId="6" fillId="6" borderId="11" xfId="10" applyFont="1" applyFill="1" applyBorder="1" applyAlignment="1">
      <alignment horizontal="left" vertical="center"/>
    </xf>
    <xf numFmtId="0" fontId="6" fillId="6" borderId="8" xfId="10" applyFont="1" applyFill="1" applyBorder="1" applyAlignment="1">
      <alignment horizontal="left" vertical="center"/>
    </xf>
    <xf numFmtId="0" fontId="6" fillId="0" borderId="35" xfId="10" applyFont="1" applyBorder="1" applyAlignment="1">
      <alignment horizontal="left" vertical="center"/>
    </xf>
    <xf numFmtId="0" fontId="6" fillId="0" borderId="76" xfId="10" applyFont="1" applyBorder="1" applyAlignment="1">
      <alignment horizontal="left" vertical="center"/>
    </xf>
    <xf numFmtId="49" fontId="7" fillId="7" borderId="75" xfId="10" applyNumberFormat="1" applyFont="1" applyFill="1" applyBorder="1" applyAlignment="1">
      <alignment horizontal="center" vertical="center" wrapText="1"/>
    </xf>
    <xf numFmtId="49" fontId="7" fillId="7" borderId="66" xfId="10" applyNumberFormat="1" applyFont="1" applyFill="1" applyBorder="1" applyAlignment="1">
      <alignment horizontal="center" vertical="center" wrapText="1"/>
    </xf>
    <xf numFmtId="49" fontId="7" fillId="7" borderId="71" xfId="10" applyNumberFormat="1" applyFont="1" applyFill="1" applyBorder="1" applyAlignment="1">
      <alignment horizontal="center" vertical="center" wrapText="1"/>
    </xf>
    <xf numFmtId="49" fontId="7" fillId="8" borderId="74" xfId="10" applyNumberFormat="1" applyFont="1" applyFill="1" applyBorder="1" applyAlignment="1">
      <alignment horizontal="center" vertical="center" wrapText="1"/>
    </xf>
    <xf numFmtId="49" fontId="7" fillId="8" borderId="64" xfId="10" applyNumberFormat="1" applyFont="1" applyFill="1" applyBorder="1" applyAlignment="1">
      <alignment horizontal="center" vertical="center" wrapText="1"/>
    </xf>
    <xf numFmtId="49" fontId="7" fillId="8" borderId="69" xfId="10" applyNumberFormat="1" applyFont="1" applyFill="1" applyBorder="1" applyAlignment="1">
      <alignment horizontal="center" vertical="center" wrapText="1"/>
    </xf>
    <xf numFmtId="10" fontId="18" fillId="0" borderId="59" xfId="10" applyNumberFormat="1" applyFont="1" applyBorder="1" applyAlignment="1">
      <alignment horizontal="center" vertical="center" wrapText="1"/>
    </xf>
    <xf numFmtId="10" fontId="18" fillId="0" borderId="65" xfId="10" applyNumberFormat="1" applyFont="1" applyBorder="1" applyAlignment="1">
      <alignment horizontal="center" vertical="center" wrapText="1"/>
    </xf>
    <xf numFmtId="10" fontId="18" fillId="0" borderId="70" xfId="10" applyNumberFormat="1" applyFont="1" applyBorder="1" applyAlignment="1">
      <alignment horizontal="center" vertical="center" wrapText="1"/>
    </xf>
    <xf numFmtId="0" fontId="5" fillId="6" borderId="22" xfId="11" applyFont="1" applyFill="1" applyBorder="1" applyAlignment="1">
      <alignment horizontal="left" vertical="center" wrapText="1"/>
    </xf>
    <xf numFmtId="0" fontId="5" fillId="6" borderId="23" xfId="11" applyFont="1" applyFill="1" applyBorder="1" applyAlignment="1">
      <alignment horizontal="left" vertical="center" wrapText="1"/>
    </xf>
    <xf numFmtId="0" fontId="5" fillId="6" borderId="22" xfId="10" applyFont="1" applyFill="1" applyBorder="1" applyAlignment="1">
      <alignment horizontal="left" vertical="center" wrapText="1"/>
    </xf>
    <xf numFmtId="0" fontId="5" fillId="6" borderId="23" xfId="10" applyFont="1" applyFill="1" applyBorder="1" applyAlignment="1">
      <alignment horizontal="left" vertical="center" wrapText="1"/>
    </xf>
    <xf numFmtId="0" fontId="12" fillId="11" borderId="1" xfId="0" applyFont="1" applyFill="1" applyBorder="1" applyAlignment="1">
      <alignment horizontal="center"/>
    </xf>
    <xf numFmtId="0" fontId="12" fillId="11" borderId="4" xfId="0" applyFont="1" applyFill="1" applyBorder="1" applyAlignment="1">
      <alignment horizontal="center"/>
    </xf>
    <xf numFmtId="0" fontId="0" fillId="10" borderId="7" xfId="0" applyFill="1" applyBorder="1" applyAlignment="1">
      <alignment horizontal="center" vertical="center" wrapText="1"/>
    </xf>
    <xf numFmtId="0" fontId="0" fillId="10" borderId="39" xfId="0" applyFill="1" applyBorder="1" applyAlignment="1">
      <alignment horizontal="center" vertical="center" wrapText="1"/>
    </xf>
    <xf numFmtId="0" fontId="12" fillId="10" borderId="49" xfId="0" applyFont="1" applyFill="1" applyBorder="1" applyAlignment="1">
      <alignment horizontal="center" vertical="center" wrapText="1"/>
    </xf>
    <xf numFmtId="0" fontId="12" fillId="10" borderId="51" xfId="0" applyFont="1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0" fontId="0" fillId="10" borderId="7" xfId="0" applyFill="1" applyBorder="1" applyAlignment="1">
      <alignment horizontal="center" vertical="center"/>
    </xf>
    <xf numFmtId="0" fontId="0" fillId="10" borderId="102" xfId="0" applyFill="1" applyBorder="1" applyAlignment="1">
      <alignment horizontal="center" vertical="center"/>
    </xf>
    <xf numFmtId="0" fontId="0" fillId="10" borderId="101" xfId="0" applyFill="1" applyBorder="1" applyAlignment="1">
      <alignment horizontal="center" vertical="center"/>
    </xf>
    <xf numFmtId="0" fontId="0" fillId="10" borderId="103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 wrapText="1"/>
    </xf>
    <xf numFmtId="0" fontId="0" fillId="10" borderId="10" xfId="0" applyFill="1" applyBorder="1" applyAlignment="1">
      <alignment horizontal="center" vertical="center" wrapText="1"/>
    </xf>
    <xf numFmtId="0" fontId="0" fillId="10" borderId="11" xfId="0" applyFill="1" applyBorder="1" applyAlignment="1">
      <alignment horizontal="center" vertical="center" wrapText="1"/>
    </xf>
    <xf numFmtId="0" fontId="0" fillId="10" borderId="8" xfId="0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/>
    </xf>
    <xf numFmtId="0" fontId="12" fillId="12" borderId="4" xfId="0" applyFont="1" applyFill="1" applyBorder="1" applyAlignment="1">
      <alignment horizontal="center"/>
    </xf>
    <xf numFmtId="0" fontId="0" fillId="10" borderId="39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0" fontId="0" fillId="10" borderId="10" xfId="0" applyFill="1" applyBorder="1" applyAlignment="1">
      <alignment horizontal="center" vertical="center"/>
    </xf>
    <xf numFmtId="0" fontId="0" fillId="10" borderId="11" xfId="0" applyFill="1" applyBorder="1" applyAlignment="1">
      <alignment horizontal="center" vertical="center"/>
    </xf>
    <xf numFmtId="0" fontId="12" fillId="13" borderId="1" xfId="0" applyFont="1" applyFill="1" applyBorder="1" applyAlignment="1">
      <alignment horizontal="center"/>
    </xf>
    <xf numFmtId="0" fontId="12" fillId="13" borderId="4" xfId="0" applyFont="1" applyFill="1" applyBorder="1" applyAlignment="1">
      <alignment horizontal="center"/>
    </xf>
    <xf numFmtId="0" fontId="0" fillId="10" borderId="15" xfId="0" applyFill="1" applyBorder="1" applyAlignment="1">
      <alignment horizontal="center" vertical="center"/>
    </xf>
    <xf numFmtId="0" fontId="12" fillId="14" borderId="1" xfId="0" applyFont="1" applyFill="1" applyBorder="1" applyAlignment="1">
      <alignment horizontal="center"/>
    </xf>
    <xf numFmtId="0" fontId="12" fillId="14" borderId="4" xfId="0" applyFont="1" applyFill="1" applyBorder="1" applyAlignment="1">
      <alignment horizontal="center"/>
    </xf>
    <xf numFmtId="0" fontId="7" fillId="0" borderId="42" xfId="8" applyFont="1" applyBorder="1" applyAlignment="1">
      <alignment horizontal="center" vertical="center"/>
    </xf>
    <xf numFmtId="0" fontId="7" fillId="0" borderId="72" xfId="8" applyFont="1" applyBorder="1" applyAlignment="1">
      <alignment horizontal="center" vertical="center"/>
    </xf>
    <xf numFmtId="0" fontId="7" fillId="0" borderId="5" xfId="8" applyFont="1" applyBorder="1" applyAlignment="1">
      <alignment horizontal="center" vertical="center" wrapText="1"/>
    </xf>
    <xf numFmtId="0" fontId="7" fillId="0" borderId="27" xfId="8" applyFont="1" applyBorder="1" applyAlignment="1">
      <alignment horizontal="center" vertical="center" wrapText="1"/>
    </xf>
    <xf numFmtId="0" fontId="7" fillId="0" borderId="58" xfId="8" applyFont="1" applyBorder="1" applyAlignment="1">
      <alignment horizontal="center" vertical="center"/>
    </xf>
    <xf numFmtId="0" fontId="7" fillId="0" borderId="62" xfId="8" applyFont="1" applyBorder="1" applyAlignment="1">
      <alignment horizontal="center" vertical="center"/>
    </xf>
    <xf numFmtId="0" fontId="8" fillId="0" borderId="100" xfId="0" applyFont="1" applyBorder="1" applyAlignment="1">
      <alignment horizontal="center" vertical="center" wrapText="1"/>
    </xf>
    <xf numFmtId="0" fontId="8" fillId="0" borderId="7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38" xfId="8" applyFont="1" applyBorder="1" applyAlignment="1">
      <alignment horizontal="center" vertical="center" wrapText="1"/>
    </xf>
    <xf numFmtId="0" fontId="7" fillId="0" borderId="57" xfId="8" applyFont="1" applyBorder="1" applyAlignment="1">
      <alignment horizontal="center" vertical="center"/>
    </xf>
    <xf numFmtId="0" fontId="7" fillId="0" borderId="0" xfId="8" applyFont="1" applyAlignment="1">
      <alignment horizontal="center" vertical="center"/>
    </xf>
    <xf numFmtId="0" fontId="7" fillId="0" borderId="68" xfId="8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15" borderId="10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7" fillId="0" borderId="45" xfId="8" applyFont="1" applyBorder="1" applyAlignment="1">
      <alignment horizontal="center" vertical="center"/>
    </xf>
    <xf numFmtId="0" fontId="8" fillId="0" borderId="36" xfId="8" applyFont="1" applyBorder="1" applyAlignment="1">
      <alignment horizontal="center" vertical="center"/>
    </xf>
    <xf numFmtId="0" fontId="8" fillId="0" borderId="29" xfId="8" applyFont="1" applyBorder="1" applyAlignment="1">
      <alignment horizontal="center" vertical="center"/>
    </xf>
    <xf numFmtId="0" fontId="7" fillId="0" borderId="6" xfId="8" applyFont="1" applyBorder="1" applyAlignment="1">
      <alignment horizontal="center" vertical="center"/>
    </xf>
    <xf numFmtId="0" fontId="7" fillId="0" borderId="28" xfId="8" applyFont="1" applyBorder="1" applyAlignment="1">
      <alignment horizontal="center" vertical="center"/>
    </xf>
    <xf numFmtId="0" fontId="7" fillId="0" borderId="31" xfId="8" applyFont="1" applyBorder="1" applyAlignment="1">
      <alignment horizontal="center" vertical="center"/>
    </xf>
    <xf numFmtId="0" fontId="7" fillId="0" borderId="5" xfId="8" applyFont="1" applyBorder="1" applyAlignment="1">
      <alignment horizontal="center" vertical="center"/>
    </xf>
    <xf numFmtId="0" fontId="7" fillId="0" borderId="27" xfId="8" applyFont="1" applyBorder="1" applyAlignment="1">
      <alignment horizontal="center" vertical="center"/>
    </xf>
    <xf numFmtId="0" fontId="7" fillId="0" borderId="38" xfId="8" applyFont="1" applyBorder="1" applyAlignment="1">
      <alignment horizontal="center" vertical="center"/>
    </xf>
    <xf numFmtId="0" fontId="7" fillId="0" borderId="49" xfId="8" applyFont="1" applyBorder="1" applyAlignment="1">
      <alignment horizontal="center" vertical="center"/>
    </xf>
    <xf numFmtId="0" fontId="7" fillId="0" borderId="50" xfId="8" applyFont="1" applyBorder="1" applyAlignment="1">
      <alignment horizontal="center" vertical="center"/>
    </xf>
    <xf numFmtId="0" fontId="7" fillId="0" borderId="51" xfId="8" applyFont="1" applyBorder="1" applyAlignment="1">
      <alignment horizontal="center" vertical="center"/>
    </xf>
    <xf numFmtId="0" fontId="8" fillId="0" borderId="33" xfId="8" applyFont="1" applyBorder="1" applyAlignment="1">
      <alignment horizontal="center" vertical="center" wrapText="1"/>
    </xf>
    <xf numFmtId="0" fontId="8" fillId="0" borderId="38" xfId="8" applyFont="1" applyBorder="1" applyAlignment="1">
      <alignment horizontal="center" vertical="center" wrapText="1"/>
    </xf>
    <xf numFmtId="0" fontId="8" fillId="0" borderId="34" xfId="8" applyFont="1" applyBorder="1" applyAlignment="1">
      <alignment horizontal="center" vertical="center" wrapText="1"/>
    </xf>
    <xf numFmtId="0" fontId="8" fillId="0" borderId="30" xfId="8" applyFont="1" applyBorder="1" applyAlignment="1">
      <alignment horizontal="center" vertical="center" wrapText="1"/>
    </xf>
    <xf numFmtId="0" fontId="8" fillId="0" borderId="34" xfId="8" applyFont="1" applyBorder="1" applyAlignment="1">
      <alignment horizontal="center" vertical="center"/>
    </xf>
    <xf numFmtId="0" fontId="8" fillId="0" borderId="30" xfId="8" applyFont="1" applyBorder="1" applyAlignment="1">
      <alignment horizontal="center" vertical="center"/>
    </xf>
    <xf numFmtId="0" fontId="5" fillId="0" borderId="9" xfId="8" applyFont="1" applyBorder="1" applyAlignment="1">
      <alignment horizontal="center" wrapText="1"/>
    </xf>
    <xf numFmtId="0" fontId="5" fillId="0" borderId="10" xfId="8" applyFont="1" applyBorder="1" applyAlignment="1">
      <alignment horizontal="center" wrapText="1"/>
    </xf>
    <xf numFmtId="0" fontId="5" fillId="0" borderId="11" xfId="8" applyFont="1" applyBorder="1" applyAlignment="1">
      <alignment horizontal="center" wrapText="1"/>
    </xf>
    <xf numFmtId="0" fontId="7" fillId="0" borderId="13" xfId="8" applyFont="1" applyBorder="1" applyAlignment="1">
      <alignment horizontal="center" wrapText="1"/>
    </xf>
    <xf numFmtId="0" fontId="7" fillId="0" borderId="15" xfId="8" applyFont="1" applyBorder="1" applyAlignment="1">
      <alignment horizontal="center" wrapText="1"/>
    </xf>
    <xf numFmtId="0" fontId="8" fillId="0" borderId="37" xfId="8" applyFont="1" applyBorder="1" applyAlignment="1">
      <alignment horizontal="center" vertical="center"/>
    </xf>
    <xf numFmtId="0" fontId="8" fillId="0" borderId="31" xfId="8" applyFont="1" applyBorder="1" applyAlignment="1">
      <alignment horizontal="center" vertical="center"/>
    </xf>
    <xf numFmtId="0" fontId="8" fillId="0" borderId="33" xfId="8" applyFont="1" applyBorder="1" applyAlignment="1">
      <alignment horizontal="center" vertical="center"/>
    </xf>
    <xf numFmtId="0" fontId="8" fillId="0" borderId="38" xfId="8" applyFont="1" applyBorder="1" applyAlignment="1">
      <alignment horizontal="center" vertical="center"/>
    </xf>
    <xf numFmtId="0" fontId="8" fillId="0" borderId="35" xfId="8" applyFont="1" applyBorder="1" applyAlignment="1">
      <alignment horizontal="center" vertical="center"/>
    </xf>
    <xf numFmtId="0" fontId="8" fillId="0" borderId="32" xfId="8" applyFont="1" applyBorder="1" applyAlignment="1">
      <alignment horizontal="center" vertical="center"/>
    </xf>
    <xf numFmtId="0" fontId="8" fillId="0" borderId="35" xfId="8" applyFont="1" applyBorder="1" applyAlignment="1">
      <alignment horizontal="center" vertical="center" wrapText="1"/>
    </xf>
    <xf numFmtId="0" fontId="8" fillId="0" borderId="32" xfId="8" applyFont="1" applyBorder="1" applyAlignment="1">
      <alignment horizontal="center" vertical="center" wrapText="1"/>
    </xf>
    <xf numFmtId="0" fontId="7" fillId="0" borderId="56" xfId="8" applyFont="1" applyBorder="1" applyAlignment="1">
      <alignment horizontal="center" wrapText="1"/>
    </xf>
    <xf numFmtId="0" fontId="7" fillId="0" borderId="57" xfId="8" applyFont="1" applyBorder="1" applyAlignment="1">
      <alignment horizontal="center" wrapText="1"/>
    </xf>
    <xf numFmtId="0" fontId="7" fillId="0" borderId="100" xfId="8" applyFont="1" applyBorder="1" applyAlignment="1">
      <alignment horizontal="center" wrapText="1"/>
    </xf>
    <xf numFmtId="0" fontId="8" fillId="0" borderId="37" xfId="8" applyFont="1" applyBorder="1" applyAlignment="1">
      <alignment horizontal="center" vertical="center" wrapText="1"/>
    </xf>
    <xf numFmtId="0" fontId="8" fillId="0" borderId="31" xfId="8" applyFont="1" applyBorder="1" applyAlignment="1">
      <alignment horizontal="center" vertical="center" wrapText="1"/>
    </xf>
    <xf numFmtId="0" fontId="3" fillId="0" borderId="0" xfId="5" applyFont="1" applyAlignment="1">
      <alignment horizontal="left" vertical="center"/>
    </xf>
    <xf numFmtId="0" fontId="35" fillId="0" borderId="15" xfId="5" applyFont="1" applyBorder="1" applyAlignment="1">
      <alignment horizontal="center" vertical="center" wrapText="1"/>
    </xf>
    <xf numFmtId="0" fontId="35" fillId="0" borderId="26" xfId="5" applyFont="1" applyBorder="1" applyAlignment="1">
      <alignment horizontal="center" vertical="center" wrapText="1"/>
    </xf>
    <xf numFmtId="0" fontId="41" fillId="0" borderId="67" xfId="5" applyFont="1" applyBorder="1" applyAlignment="1">
      <alignment horizontal="center" vertical="center"/>
    </xf>
    <xf numFmtId="0" fontId="41" fillId="0" borderId="29" xfId="5" applyFont="1" applyBorder="1" applyAlignment="1">
      <alignment horizontal="center" vertical="center"/>
    </xf>
    <xf numFmtId="0" fontId="35" fillId="0" borderId="21" xfId="5" applyFont="1" applyBorder="1" applyAlignment="1">
      <alignment horizontal="left" indent="1"/>
    </xf>
    <xf numFmtId="0" fontId="35" fillId="0" borderId="54" xfId="5" applyFont="1" applyBorder="1" applyAlignment="1">
      <alignment horizontal="left" indent="1"/>
    </xf>
    <xf numFmtId="0" fontId="35" fillId="0" borderId="16" xfId="5" applyFont="1" applyBorder="1" applyAlignment="1">
      <alignment horizontal="left" indent="1"/>
    </xf>
    <xf numFmtId="0" fontId="35" fillId="0" borderId="35" xfId="5" applyFont="1" applyBorder="1" applyAlignment="1">
      <alignment horizontal="left" indent="1"/>
    </xf>
    <xf numFmtId="0" fontId="35" fillId="0" borderId="76" xfId="5" applyFont="1" applyBorder="1" applyAlignment="1">
      <alignment horizontal="left" indent="1"/>
    </xf>
    <xf numFmtId="0" fontId="35" fillId="0" borderId="36" xfId="5" applyFont="1" applyBorder="1" applyAlignment="1">
      <alignment horizontal="left" indent="1"/>
    </xf>
    <xf numFmtId="0" fontId="35" fillId="0" borderId="13" xfId="5" applyFont="1" applyBorder="1" applyAlignment="1">
      <alignment horizontal="center" vertical="center" wrapText="1"/>
    </xf>
    <xf numFmtId="0" fontId="35" fillId="0" borderId="22" xfId="5" applyFont="1" applyBorder="1" applyAlignment="1">
      <alignment horizontal="center" vertical="center" wrapText="1"/>
    </xf>
    <xf numFmtId="0" fontId="35" fillId="0" borderId="10" xfId="5" applyFont="1" applyBorder="1" applyAlignment="1">
      <alignment horizontal="center" vertical="center" wrapText="1"/>
    </xf>
    <xf numFmtId="0" fontId="35" fillId="0" borderId="23" xfId="5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42" fillId="0" borderId="0" xfId="5" applyFont="1" applyAlignment="1">
      <alignment horizontal="left" vertical="center" wrapText="1"/>
    </xf>
    <xf numFmtId="0" fontId="12" fillId="0" borderId="42" xfId="0" applyFont="1" applyBorder="1" applyAlignment="1">
      <alignment horizontal="center"/>
    </xf>
    <xf numFmtId="0" fontId="12" fillId="0" borderId="72" xfId="0" applyFont="1" applyBorder="1" applyAlignment="1">
      <alignment horizontal="center"/>
    </xf>
    <xf numFmtId="0" fontId="7" fillId="0" borderId="42" xfId="5" applyFont="1" applyBorder="1" applyAlignment="1">
      <alignment horizontal="center" vertical="center"/>
    </xf>
    <xf numFmtId="0" fontId="7" fillId="0" borderId="45" xfId="5" applyFont="1" applyBorder="1" applyAlignment="1">
      <alignment horizontal="center" vertical="center"/>
    </xf>
    <xf numFmtId="0" fontId="43" fillId="0" borderId="0" xfId="5" applyFont="1" applyAlignment="1">
      <alignment horizontal="left" vertical="center" wrapText="1"/>
    </xf>
    <xf numFmtId="0" fontId="7" fillId="0" borderId="13" xfId="5" applyFont="1" applyBorder="1" applyAlignment="1">
      <alignment horizontal="center" vertical="center" wrapText="1"/>
    </xf>
    <xf numFmtId="0" fontId="7" fillId="0" borderId="22" xfId="5" applyFont="1" applyBorder="1" applyAlignment="1">
      <alignment horizontal="center" vertical="center" wrapText="1"/>
    </xf>
    <xf numFmtId="0" fontId="7" fillId="0" borderId="15" xfId="5" applyFont="1" applyBorder="1" applyAlignment="1">
      <alignment horizontal="center" vertical="center" wrapText="1"/>
    </xf>
    <xf numFmtId="0" fontId="7" fillId="0" borderId="26" xfId="5" applyFont="1" applyBorder="1" applyAlignment="1">
      <alignment horizontal="center" vertical="center" wrapText="1"/>
    </xf>
    <xf numFmtId="0" fontId="7" fillId="0" borderId="9" xfId="5" applyFont="1" applyBorder="1" applyAlignment="1">
      <alignment horizontal="center" vertical="center" wrapText="1"/>
    </xf>
    <xf numFmtId="0" fontId="7" fillId="0" borderId="11" xfId="5" applyFont="1" applyBorder="1" applyAlignment="1">
      <alignment horizontal="center" vertical="center" wrapText="1"/>
    </xf>
    <xf numFmtId="0" fontId="7" fillId="0" borderId="49" xfId="5" applyFont="1" applyBorder="1" applyAlignment="1">
      <alignment horizontal="center" vertical="center" wrapText="1"/>
    </xf>
    <xf numFmtId="0" fontId="7" fillId="0" borderId="51" xfId="5" applyFont="1" applyBorder="1" applyAlignment="1">
      <alignment horizontal="center" vertical="center" wrapText="1"/>
    </xf>
    <xf numFmtId="0" fontId="7" fillId="0" borderId="6" xfId="8" applyFont="1" applyBorder="1" applyAlignment="1">
      <alignment horizontal="center" vertical="center" wrapText="1"/>
    </xf>
    <xf numFmtId="0" fontId="7" fillId="0" borderId="31" xfId="8" applyFont="1" applyBorder="1" applyAlignment="1">
      <alignment horizontal="center" vertical="center" wrapText="1"/>
    </xf>
    <xf numFmtId="0" fontId="7" fillId="0" borderId="7" xfId="8" applyFont="1" applyBorder="1" applyAlignment="1">
      <alignment horizontal="center" vertical="center" wrapText="1"/>
    </xf>
    <xf numFmtId="0" fontId="7" fillId="0" borderId="8" xfId="8" applyFont="1" applyBorder="1" applyAlignment="1">
      <alignment horizontal="center" vertical="center" wrapText="1"/>
    </xf>
    <xf numFmtId="0" fontId="7" fillId="0" borderId="49" xfId="8" applyFont="1" applyBorder="1" applyAlignment="1">
      <alignment horizontal="center" vertical="center" wrapText="1"/>
    </xf>
    <xf numFmtId="0" fontId="7" fillId="0" borderId="51" xfId="8" applyFont="1" applyBorder="1" applyAlignment="1">
      <alignment horizontal="center" vertical="center" wrapText="1"/>
    </xf>
  </cellXfs>
  <cellStyles count="14">
    <cellStyle name="Čárka 2" xfId="12" xr:uid="{00000000-0005-0000-0000-00003B000000}"/>
    <cellStyle name="Čárka 3" xfId="13" xr:uid="{7E2186CD-EDCE-402C-B187-AC2C8FAC6CFA}"/>
    <cellStyle name="Hypertextový odkaz" xfId="9" builtinId="8"/>
    <cellStyle name="Nadpis - excel" xfId="2" xr:uid="{00000000-0005-0000-0000-000001000000}"/>
    <cellStyle name="Normální" xfId="0" builtinId="0"/>
    <cellStyle name="Normální 10" xfId="3" xr:uid="{00000000-0005-0000-0000-000003000000}"/>
    <cellStyle name="Normální 11 2" xfId="8" xr:uid="{00000000-0005-0000-0000-000004000000}"/>
    <cellStyle name="normální 14 2 2" xfId="5" xr:uid="{00000000-0005-0000-0000-000005000000}"/>
    <cellStyle name="Normální 2" xfId="4" xr:uid="{00000000-0005-0000-0000-000006000000}"/>
    <cellStyle name="normální 2 5" xfId="6" xr:uid="{00000000-0005-0000-0000-000007000000}"/>
    <cellStyle name="normální_Tab.1-bilance PV" xfId="11" xr:uid="{00000000-0005-0000-0000-000008000000}"/>
    <cellStyle name="normální_Tabulka 1-Bilanční-návrh 13.1.04" xfId="10" xr:uid="{00000000-0005-0000-0000-000009000000}"/>
    <cellStyle name="Procenta" xfId="1" builtinId="5"/>
    <cellStyle name="Procenta 3 2" xfId="7" xr:uid="{00000000-0005-0000-0000-00000C000000}"/>
  </cellStyles>
  <dxfs count="0"/>
  <tableStyles count="0" defaultTableStyle="TableStyleMedium2" defaultPivotStyle="PivotStyleLight16"/>
  <colors>
    <mruColors>
      <color rgb="FF9BC2E6"/>
      <color rgb="FFF4B084"/>
      <color rgb="FFFFD966"/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22412</xdr:colOff>
      <xdr:row>21</xdr:row>
      <xdr:rowOff>123265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D8FBE59A-1B17-4AE4-BDF4-DC5D419B2103}"/>
            </a:ext>
          </a:extLst>
        </xdr:cNvPr>
        <xdr:cNvSpPr txBox="1"/>
      </xdr:nvSpPr>
      <xdr:spPr>
        <a:xfrm>
          <a:off x="5692588" y="4661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</xdr:row>
      <xdr:rowOff>0</xdr:rowOff>
    </xdr:from>
    <xdr:ext cx="9525" cy="316624"/>
    <xdr:pic>
      <xdr:nvPicPr>
        <xdr:cNvPr id="2" name="Picture 1" descr="https://sims.ics.muni.cz/sims_is/img/bod.gif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52675"/>
          <a:ext cx="9525" cy="316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9525" cy="316624"/>
    <xdr:pic>
      <xdr:nvPicPr>
        <xdr:cNvPr id="3" name="Picture 2" descr="https://sims.ics.muni.cz/sims_is/img/bod.gif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52675"/>
          <a:ext cx="9525" cy="316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E21"/>
  <sheetViews>
    <sheetView tabSelected="1" zoomScale="85" zoomScaleNormal="85" workbookViewId="0">
      <selection activeCell="B27" sqref="B27"/>
    </sheetView>
  </sheetViews>
  <sheetFormatPr defaultRowHeight="15" x14ac:dyDescent="0.25"/>
  <cols>
    <col min="1" max="1" width="6.28515625" customWidth="1"/>
    <col min="2" max="2" width="69.7109375" customWidth="1"/>
  </cols>
  <sheetData>
    <row r="1" spans="1:5" ht="27.75" x14ac:dyDescent="0.4">
      <c r="A1" s="374" t="s">
        <v>228</v>
      </c>
      <c r="B1" s="375"/>
      <c r="C1" s="375"/>
      <c r="D1" s="375"/>
      <c r="E1" s="375"/>
    </row>
    <row r="3" spans="1:5" x14ac:dyDescent="0.25">
      <c r="A3" s="376" t="s">
        <v>133</v>
      </c>
    </row>
    <row r="4" spans="1:5" x14ac:dyDescent="0.25">
      <c r="A4" s="377"/>
    </row>
    <row r="5" spans="1:5" x14ac:dyDescent="0.25">
      <c r="A5" s="378">
        <v>1</v>
      </c>
      <c r="B5" s="442" t="s">
        <v>220</v>
      </c>
      <c r="C5" s="383"/>
    </row>
    <row r="6" spans="1:5" x14ac:dyDescent="0.25">
      <c r="A6" s="378" t="s">
        <v>138</v>
      </c>
      <c r="B6" s="442" t="s">
        <v>134</v>
      </c>
      <c r="C6" s="382"/>
    </row>
    <row r="7" spans="1:5" x14ac:dyDescent="0.25">
      <c r="A7" s="378" t="s">
        <v>139</v>
      </c>
      <c r="B7" s="442" t="s">
        <v>135</v>
      </c>
      <c r="C7" s="382"/>
    </row>
    <row r="8" spans="1:5" x14ac:dyDescent="0.25">
      <c r="A8" s="378" t="s">
        <v>140</v>
      </c>
      <c r="B8" s="442" t="s">
        <v>136</v>
      </c>
      <c r="C8" s="382"/>
    </row>
    <row r="9" spans="1:5" x14ac:dyDescent="0.25">
      <c r="A9" s="378" t="s">
        <v>141</v>
      </c>
      <c r="B9" s="442" t="s">
        <v>137</v>
      </c>
      <c r="C9" s="379"/>
    </row>
    <row r="10" spans="1:5" x14ac:dyDescent="0.25">
      <c r="A10" s="378" t="s">
        <v>142</v>
      </c>
      <c r="B10" s="443" t="s">
        <v>145</v>
      </c>
      <c r="C10" s="379"/>
    </row>
    <row r="11" spans="1:5" x14ac:dyDescent="0.25">
      <c r="A11" s="378" t="s">
        <v>143</v>
      </c>
      <c r="B11" s="443" t="s">
        <v>202</v>
      </c>
      <c r="C11" s="379"/>
    </row>
    <row r="12" spans="1:5" x14ac:dyDescent="0.25">
      <c r="A12" s="378" t="s">
        <v>249</v>
      </c>
      <c r="B12" s="443" t="s">
        <v>250</v>
      </c>
      <c r="C12" s="379"/>
    </row>
    <row r="13" spans="1:5" x14ac:dyDescent="0.25">
      <c r="A13" s="378">
        <v>4</v>
      </c>
      <c r="B13" s="443" t="s">
        <v>144</v>
      </c>
      <c r="C13" s="379"/>
    </row>
    <row r="14" spans="1:5" x14ac:dyDescent="0.25">
      <c r="A14" s="380">
        <v>5</v>
      </c>
      <c r="B14" s="443" t="s">
        <v>80</v>
      </c>
      <c r="C14" s="382"/>
    </row>
    <row r="15" spans="1:5" x14ac:dyDescent="0.25">
      <c r="A15" s="378">
        <v>6</v>
      </c>
      <c r="B15" s="443" t="s">
        <v>82</v>
      </c>
      <c r="C15" s="382"/>
    </row>
    <row r="16" spans="1:5" x14ac:dyDescent="0.25">
      <c r="A16" s="378">
        <v>7</v>
      </c>
      <c r="B16" s="442" t="s">
        <v>129</v>
      </c>
      <c r="C16" s="382"/>
    </row>
    <row r="17" spans="1:3" x14ac:dyDescent="0.25">
      <c r="A17" s="378">
        <v>8</v>
      </c>
      <c r="B17" s="442" t="s">
        <v>132</v>
      </c>
      <c r="C17" s="381"/>
    </row>
    <row r="18" spans="1:3" x14ac:dyDescent="0.25">
      <c r="A18" s="378" t="s">
        <v>236</v>
      </c>
      <c r="B18" s="442" t="s">
        <v>247</v>
      </c>
      <c r="C18" s="381"/>
    </row>
    <row r="19" spans="1:3" x14ac:dyDescent="0.25">
      <c r="A19" s="378" t="s">
        <v>237</v>
      </c>
      <c r="B19" s="442" t="s">
        <v>283</v>
      </c>
      <c r="C19" s="381"/>
    </row>
    <row r="20" spans="1:3" x14ac:dyDescent="0.25">
      <c r="A20" s="378"/>
      <c r="B20" s="379"/>
      <c r="C20" s="381"/>
    </row>
    <row r="21" spans="1:3" x14ac:dyDescent="0.25">
      <c r="A21" s="378"/>
      <c r="B21" s="379"/>
      <c r="C21" s="379"/>
    </row>
  </sheetData>
  <hyperlinks>
    <hyperlink ref="B5" location="'1 Bilance'!A1" display="Bilance zdrojů pro rozdělení příspěvku a dotací vysokým školám v roce 2021" xr:uid="{3BBAFBB5-07DC-4DD7-85C5-D55300EA62F4}"/>
    <hyperlink ref="B6" location="'2a Výkonová část segment 1'!A1" display="Výkonová část - segment 1" xr:uid="{42330568-A9FA-4D23-93AE-FF47AFDDCB1A}"/>
    <hyperlink ref="B7" location="'2b Výkonová část segment 2'!A1" display="Výkonová část - segment 2" xr:uid="{2FFC135B-878F-483F-BB19-5CCE9345D8F7}"/>
    <hyperlink ref="B8" location="'2c Výkonová část segment 3'!A1" display="Výkonová část - segment 3" xr:uid="{45B03F80-3B4D-4C12-B6BC-0A2F4C0EB18F}"/>
    <hyperlink ref="B9" location="'2d Výkonová část segment 4'!A1" display="Výkonová část - segment 4" xr:uid="{9B689671-7A30-4BB4-A05D-3BBFC7A32D19}"/>
    <hyperlink ref="B10" location="'3a Ukazatel P - lékařské fakult'!A1" display="Ukazatel P - Lékařské fakulty" xr:uid="{558D2358-A000-4AAE-934E-20B38AE4AE5E}"/>
    <hyperlink ref="B11" location="'3b Ukazatel P - VETUNI'!A1" display="Ukazatel P - VETUNI" xr:uid="{22506269-CEE3-4D76-9AA1-518C5854D7B4}"/>
    <hyperlink ref="B13" location="'4 RO I'!A1" display="Rozpočtový okruh I" xr:uid="{9714560D-C0C3-4213-8974-13DA47F6B714}"/>
    <hyperlink ref="B14" location="'5 Ukazatel C'!A1" display="Ukazatel C" xr:uid="{CBEA28DB-F5A1-466D-B683-079FF0974A8F}"/>
    <hyperlink ref="B15" location="'6 Ukazatel U'!A1" display="Ukazatel U" xr:uid="{3BDF37AA-13B1-4868-8127-3FFDB292E42F}"/>
    <hyperlink ref="B16" location="'7 Ukazatel I'!A1" display="Ukazatel I" xr:uid="{5C5FE5E6-1CD8-4D42-A717-7212CD38847E}"/>
    <hyperlink ref="B17" location="'8 Fond umělecké činnosti'!A1" display="Fond umělecké činnosti" xr:uid="{7BE4E29E-7127-47C7-AC07-99788BAC4C3D}"/>
    <hyperlink ref="B18" location="'9a U3V'!A1" display="U3V" xr:uid="{D0991906-6674-47B5-85BF-A5450A5EBE12}"/>
    <hyperlink ref="B19" location="'9b SSP'!A1" display="SSP " xr:uid="{8D1AB21D-2B79-4896-AA86-ACB590E4B405}"/>
    <hyperlink ref="B12" location="'3c Ukazatel P - NLZSP'!A1" display="Ukazatel P - NLZSP" xr:uid="{713C768F-9D7B-4386-9016-EAB4776AA004}"/>
  </hyperlinks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 xml:space="preserve">&amp;LČ. j.: MSMT-5003/2026-1
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  <pageSetUpPr fitToPage="1"/>
  </sheetPr>
  <dimension ref="A1:XEV72"/>
  <sheetViews>
    <sheetView zoomScale="70" zoomScaleNormal="70" workbookViewId="0">
      <selection activeCell="N15" sqref="N15"/>
    </sheetView>
  </sheetViews>
  <sheetFormatPr defaultRowHeight="15" x14ac:dyDescent="0.25"/>
  <cols>
    <col min="2" max="2" width="72.7109375" customWidth="1"/>
    <col min="3" max="11" width="21.85546875" customWidth="1"/>
    <col min="12" max="12" width="21.5703125" customWidth="1"/>
    <col min="13" max="13" width="23.42578125" customWidth="1"/>
  </cols>
  <sheetData>
    <row r="1" spans="1:13 16376:16376" ht="27.75" x14ac:dyDescent="0.4">
      <c r="A1" s="12" t="s">
        <v>281</v>
      </c>
      <c r="B1" s="13"/>
      <c r="C1" s="13"/>
      <c r="D1" s="13"/>
      <c r="E1" s="13"/>
      <c r="F1" s="13"/>
      <c r="G1" s="13"/>
      <c r="H1" s="13"/>
      <c r="I1" s="13"/>
    </row>
    <row r="2" spans="1:13 16376:16376" ht="28.5" x14ac:dyDescent="0.45">
      <c r="A2" s="14" t="s">
        <v>210</v>
      </c>
      <c r="B2" s="15"/>
      <c r="C2" s="15"/>
      <c r="D2" s="15"/>
      <c r="E2" s="15"/>
      <c r="F2" s="15"/>
      <c r="G2" s="15"/>
      <c r="H2" s="15"/>
      <c r="I2" s="15"/>
    </row>
    <row r="3" spans="1:13 16376:16376" ht="28.5" x14ac:dyDescent="0.45">
      <c r="A3" s="14"/>
      <c r="B3" s="15"/>
      <c r="C3" s="15"/>
      <c r="D3" s="15"/>
      <c r="E3" s="15"/>
      <c r="F3" s="15"/>
      <c r="G3" s="15"/>
      <c r="H3" s="15"/>
      <c r="I3" s="15"/>
    </row>
    <row r="4" spans="1:13 16376:16376" x14ac:dyDescent="0.25">
      <c r="A4" s="15"/>
      <c r="B4" s="16" t="s">
        <v>32</v>
      </c>
      <c r="C4" s="17">
        <f>'1 Bilance'!J20</f>
        <v>29215201666</v>
      </c>
      <c r="D4" s="16" t="s">
        <v>33</v>
      </c>
      <c r="E4" s="15"/>
      <c r="F4" s="15"/>
      <c r="G4" s="15"/>
      <c r="H4" s="15"/>
      <c r="I4" s="15"/>
    </row>
    <row r="5" spans="1:13 16376:16376" x14ac:dyDescent="0.25">
      <c r="A5" s="15"/>
      <c r="B5" s="16" t="s">
        <v>35</v>
      </c>
      <c r="C5" s="17">
        <f>'1 Bilance'!J15</f>
        <v>20628478318.220001</v>
      </c>
      <c r="D5" s="16" t="s">
        <v>33</v>
      </c>
      <c r="E5" s="16" t="s">
        <v>38</v>
      </c>
      <c r="F5" s="24">
        <f>C5/($C$5+$C$6)</f>
        <v>0.76560206988010904</v>
      </c>
      <c r="G5" s="17"/>
    </row>
    <row r="6" spans="1:13 16376:16376" x14ac:dyDescent="0.25">
      <c r="A6" s="15"/>
      <c r="B6" s="16" t="s">
        <v>36</v>
      </c>
      <c r="C6" s="17">
        <f>'1 Bilance'!J16</f>
        <v>6315647265.7799988</v>
      </c>
      <c r="D6" s="16" t="s">
        <v>33</v>
      </c>
      <c r="E6" s="16" t="s">
        <v>38</v>
      </c>
      <c r="F6" s="24">
        <f>C6/($C$5+$C$6)</f>
        <v>0.23439793011989099</v>
      </c>
      <c r="G6" s="17"/>
    </row>
    <row r="7" spans="1:13 16376:16376" x14ac:dyDescent="0.25">
      <c r="A7" s="15"/>
      <c r="B7" s="16" t="s">
        <v>37</v>
      </c>
      <c r="C7" s="17">
        <f>'1 Bilance'!J18</f>
        <v>1449089500</v>
      </c>
      <c r="D7" s="16" t="s">
        <v>33</v>
      </c>
      <c r="E7" s="16"/>
      <c r="F7" s="23"/>
      <c r="G7" s="15"/>
      <c r="H7" s="15"/>
      <c r="I7" s="15"/>
    </row>
    <row r="8" spans="1:13 16376:16376" x14ac:dyDescent="0.25">
      <c r="A8" s="15"/>
      <c r="B8" s="13" t="s">
        <v>42</v>
      </c>
      <c r="C8" s="275">
        <v>700000000</v>
      </c>
      <c r="D8" s="13" t="s">
        <v>33</v>
      </c>
      <c r="E8" s="16"/>
      <c r="F8" s="23"/>
      <c r="G8" s="15"/>
      <c r="H8" s="15"/>
      <c r="I8" s="15"/>
    </row>
    <row r="9" spans="1:13 16376:16376" x14ac:dyDescent="0.25">
      <c r="A9" s="15"/>
      <c r="B9" s="13" t="s">
        <v>231</v>
      </c>
      <c r="C9" s="275">
        <v>34989500</v>
      </c>
      <c r="D9" s="13" t="s">
        <v>33</v>
      </c>
      <c r="E9" s="15"/>
      <c r="F9" s="15"/>
      <c r="G9" s="15"/>
      <c r="H9" s="15"/>
      <c r="I9" s="18"/>
      <c r="J9" s="18"/>
      <c r="K9" s="18"/>
    </row>
    <row r="10" spans="1:13 16376:16376" x14ac:dyDescent="0.25">
      <c r="A10" s="15"/>
      <c r="B10" s="13" t="s">
        <v>232</v>
      </c>
      <c r="C10" s="275">
        <v>320100000</v>
      </c>
      <c r="D10" s="13" t="s">
        <v>33</v>
      </c>
      <c r="E10" s="15"/>
      <c r="F10" s="15"/>
      <c r="G10" s="15"/>
      <c r="H10" s="15"/>
      <c r="I10" s="18"/>
      <c r="J10" s="18"/>
      <c r="K10" s="18"/>
    </row>
    <row r="11" spans="1:13 16376:16376" x14ac:dyDescent="0.25">
      <c r="A11" s="15"/>
      <c r="B11" s="716" t="s">
        <v>233</v>
      </c>
      <c r="C11" s="275">
        <v>394000000</v>
      </c>
      <c r="D11" s="13" t="s">
        <v>33</v>
      </c>
      <c r="E11" s="15"/>
      <c r="F11" s="15"/>
      <c r="G11" s="15"/>
      <c r="H11" s="15"/>
      <c r="I11" s="18"/>
      <c r="J11" s="18"/>
      <c r="K11" s="18"/>
    </row>
    <row r="12" spans="1:13 16376:16376" ht="15.75" thickBot="1" x14ac:dyDescent="0.3">
      <c r="A12" s="15"/>
      <c r="B12" s="16"/>
      <c r="C12" s="15"/>
      <c r="D12" s="15"/>
      <c r="E12" s="15"/>
      <c r="F12" s="15"/>
      <c r="G12" s="15"/>
      <c r="H12" s="15"/>
      <c r="I12" s="18"/>
      <c r="J12" s="18"/>
      <c r="K12" s="18"/>
      <c r="L12" s="36" t="s">
        <v>0</v>
      </c>
    </row>
    <row r="13" spans="1:13 16376:16376" ht="28.5" customHeight="1" x14ac:dyDescent="0.25">
      <c r="A13" s="909" t="s">
        <v>2</v>
      </c>
      <c r="B13" s="906" t="s">
        <v>3</v>
      </c>
      <c r="C13" s="921" t="s">
        <v>39</v>
      </c>
      <c r="D13" s="922"/>
      <c r="E13" s="922"/>
      <c r="F13" s="923"/>
      <c r="G13" s="924" t="s">
        <v>40</v>
      </c>
      <c r="H13" s="925"/>
      <c r="I13" s="934" t="s">
        <v>1</v>
      </c>
      <c r="J13" s="935"/>
      <c r="K13" s="936"/>
      <c r="L13" s="912" t="s">
        <v>34</v>
      </c>
    </row>
    <row r="14" spans="1:13 16376:16376" ht="30.75" customHeight="1" x14ac:dyDescent="0.25">
      <c r="A14" s="910"/>
      <c r="B14" s="907"/>
      <c r="C14" s="904" t="s">
        <v>29</v>
      </c>
      <c r="D14" s="919" t="s">
        <v>30</v>
      </c>
      <c r="E14" s="917" t="s">
        <v>192</v>
      </c>
      <c r="F14" s="930" t="s">
        <v>31</v>
      </c>
      <c r="G14" s="928" t="s">
        <v>29</v>
      </c>
      <c r="H14" s="926" t="s">
        <v>30</v>
      </c>
      <c r="I14" s="915" t="s">
        <v>41</v>
      </c>
      <c r="J14" s="932" t="s">
        <v>198</v>
      </c>
      <c r="K14" s="937" t="s">
        <v>246</v>
      </c>
      <c r="L14" s="913"/>
    </row>
    <row r="15" spans="1:13 16376:16376" ht="86.25" customHeight="1" thickBot="1" x14ac:dyDescent="0.3">
      <c r="A15" s="911"/>
      <c r="B15" s="908"/>
      <c r="C15" s="905"/>
      <c r="D15" s="920"/>
      <c r="E15" s="918"/>
      <c r="F15" s="931"/>
      <c r="G15" s="929"/>
      <c r="H15" s="927"/>
      <c r="I15" s="916"/>
      <c r="J15" s="933"/>
      <c r="K15" s="938"/>
      <c r="L15" s="914"/>
      <c r="XEV15" s="654"/>
    </row>
    <row r="16" spans="1:13 16376:16376" x14ac:dyDescent="0.25">
      <c r="A16" s="26">
        <v>11000</v>
      </c>
      <c r="B16" s="28" t="s">
        <v>4</v>
      </c>
      <c r="C16" s="27">
        <v>0.17769266393013733</v>
      </c>
      <c r="D16" s="1">
        <f>ROUND(C16*$C$5,0)</f>
        <v>3665529265</v>
      </c>
      <c r="E16" s="1"/>
      <c r="F16" s="2">
        <f>D16-E16</f>
        <v>3665529265</v>
      </c>
      <c r="G16" s="30">
        <f>'2d Výkonová část segment 4'!V6</f>
        <v>0.20787771323186019</v>
      </c>
      <c r="H16" s="2">
        <f>ROUND(G16*$C$6,0)</f>
        <v>1312882311</v>
      </c>
      <c r="I16" s="226">
        <f>SUMIF('3a Ukazatel P - lékařské fakult'!$A$6:$A$13,'4 RO I'!A16,'3a Ukazatel P - lékařské fakult'!$E$6:$E$13)</f>
        <v>445493927</v>
      </c>
      <c r="J16" s="384"/>
      <c r="K16" s="722">
        <f>SUMIF('3c Ukazatel P - NLZSP'!$A$15:$A$27,'4 RO I'!A16,'3c Ukazatel P - NLZSP'!$K$15:$K$27)</f>
        <v>52087249.430013977</v>
      </c>
      <c r="L16" s="710">
        <f>F16+H16+I16+J16+K16</f>
        <v>5475992752.4300137</v>
      </c>
      <c r="M16" s="439"/>
    </row>
    <row r="17" spans="1:13" x14ac:dyDescent="0.25">
      <c r="A17" s="25">
        <v>12000</v>
      </c>
      <c r="B17" s="29" t="s">
        <v>5</v>
      </c>
      <c r="C17" s="19">
        <v>3.082602439109907E-2</v>
      </c>
      <c r="D17" s="4">
        <f t="shared" ref="D17:D41" si="0">ROUND(C17*$C$5,0)</f>
        <v>635893976</v>
      </c>
      <c r="E17" s="4"/>
      <c r="F17" s="5">
        <f t="shared" ref="F17:F41" si="1">D17-E17</f>
        <v>635893976</v>
      </c>
      <c r="G17" s="31">
        <f>'2c Výkonová část segment 3'!V6</f>
        <v>2.983223669303051E-2</v>
      </c>
      <c r="H17" s="5">
        <f t="shared" ref="H17:H41" si="2">ROUND(G17*$C$6,0)</f>
        <v>188409884</v>
      </c>
      <c r="I17" s="227"/>
      <c r="J17" s="5"/>
      <c r="K17" s="723">
        <f>SUMIF('3c Ukazatel P - NLZSP'!$A$15:$A$27,'4 RO I'!A17,'3c Ukazatel P - NLZSP'!$K$15:$K$27)</f>
        <v>44478711.204481512</v>
      </c>
      <c r="L17" s="711">
        <f t="shared" ref="L17:L41" si="3">F17+H17+I17+J17+K17</f>
        <v>868782571.20448148</v>
      </c>
      <c r="M17" s="439"/>
    </row>
    <row r="18" spans="1:13" x14ac:dyDescent="0.25">
      <c r="A18" s="25">
        <v>13000</v>
      </c>
      <c r="B18" s="29" t="s">
        <v>6</v>
      </c>
      <c r="C18" s="19">
        <v>2.4582741623257617E-2</v>
      </c>
      <c r="D18" s="4">
        <f>ROUND(C18*$C$5-0.1,0)</f>
        <v>507104552</v>
      </c>
      <c r="E18" s="4"/>
      <c r="F18" s="5">
        <f t="shared" si="1"/>
        <v>507104552</v>
      </c>
      <c r="G18" s="31">
        <f>'2c Výkonová část segment 3'!V7</f>
        <v>1.4058162141363439E-2</v>
      </c>
      <c r="H18" s="5">
        <f>ROUND(G18*$C$6,0)</f>
        <v>88786393</v>
      </c>
      <c r="I18" s="227"/>
      <c r="J18" s="5"/>
      <c r="K18" s="723">
        <f>SUMIF('3c Ukazatel P - NLZSP'!$A$15:$A$27,'4 RO I'!A18,'3c Ukazatel P - NLZSP'!$K$15:$K$27)</f>
        <v>39438995.429875731</v>
      </c>
      <c r="L18" s="711">
        <f t="shared" si="3"/>
        <v>635329940.42987573</v>
      </c>
      <c r="M18" s="439"/>
    </row>
    <row r="19" spans="1:13" x14ac:dyDescent="0.25">
      <c r="A19" s="25">
        <v>14000</v>
      </c>
      <c r="B19" s="29" t="s">
        <v>7</v>
      </c>
      <c r="C19" s="19">
        <v>0.1168226092020371</v>
      </c>
      <c r="D19" s="4">
        <f t="shared" si="0"/>
        <v>2409872661</v>
      </c>
      <c r="E19" s="4"/>
      <c r="F19" s="5">
        <f t="shared" si="1"/>
        <v>2409872661</v>
      </c>
      <c r="G19" s="30">
        <f>'2d Výkonová část segment 4'!V7</f>
        <v>0.12221800310178248</v>
      </c>
      <c r="H19" s="5">
        <f t="shared" si="2"/>
        <v>771885797</v>
      </c>
      <c r="I19" s="227">
        <f>SUMIF('3a Ukazatel P - lékařské fakult'!$A$6:$A$13,'4 RO I'!A19,'3a Ukazatel P - lékařské fakult'!$E$6:$E$13)</f>
        <v>140023486</v>
      </c>
      <c r="J19" s="5"/>
      <c r="K19" s="723">
        <f>SUMIF('3c Ukazatel P - NLZSP'!$A$15:$A$27,'4 RO I'!A19,'3c Ukazatel P - NLZSP'!$K$15:$K$27)</f>
        <v>19779541.746524394</v>
      </c>
      <c r="L19" s="712">
        <f t="shared" si="3"/>
        <v>3341561485.7465243</v>
      </c>
      <c r="M19" s="439"/>
    </row>
    <row r="20" spans="1:13" x14ac:dyDescent="0.25">
      <c r="A20" s="25">
        <v>15000</v>
      </c>
      <c r="B20" s="29" t="s">
        <v>8</v>
      </c>
      <c r="C20" s="19">
        <v>6.3291886180730228E-2</v>
      </c>
      <c r="D20" s="4">
        <f t="shared" si="0"/>
        <v>1305615302</v>
      </c>
      <c r="E20" s="4"/>
      <c r="F20" s="5">
        <f t="shared" si="1"/>
        <v>1305615302</v>
      </c>
      <c r="G20" s="30">
        <f>'2d Výkonová část segment 4'!V8</f>
        <v>6.7909702733629562E-2</v>
      </c>
      <c r="H20" s="5">
        <f t="shared" si="2"/>
        <v>428893728</v>
      </c>
      <c r="I20" s="227">
        <f>SUMIF('3a Ukazatel P - lékařské fakult'!$A$6:$A$13,'4 RO I'!A20,'3a Ukazatel P - lékařské fakult'!$E$6:$E$13)</f>
        <v>77368249</v>
      </c>
      <c r="J20" s="5"/>
      <c r="K20" s="723">
        <f>SUMIF('3c Ukazatel P - NLZSP'!$A$15:$A$27,'4 RO I'!A20,'3c Ukazatel P - NLZSP'!$K$15:$K$27)</f>
        <v>32547883.809835695</v>
      </c>
      <c r="L20" s="712">
        <f t="shared" si="3"/>
        <v>1844425162.8098357</v>
      </c>
      <c r="M20" s="439"/>
    </row>
    <row r="21" spans="1:13" x14ac:dyDescent="0.25">
      <c r="A21" s="25">
        <v>16000</v>
      </c>
      <c r="B21" s="29" t="s">
        <v>193</v>
      </c>
      <c r="C21" s="19">
        <v>1.2314671012166578E-2</v>
      </c>
      <c r="D21" s="4">
        <f t="shared" si="0"/>
        <v>254032924</v>
      </c>
      <c r="E21" s="4"/>
      <c r="F21" s="5">
        <f t="shared" si="1"/>
        <v>254032924</v>
      </c>
      <c r="G21" s="31">
        <f>'2c Výkonová část segment 3'!V8</f>
        <v>7.3996674631663477E-3</v>
      </c>
      <c r="H21" s="5">
        <f t="shared" si="2"/>
        <v>46733690</v>
      </c>
      <c r="I21" s="227"/>
      <c r="J21" s="5">
        <f>'3b Ukazatel P - VETUNI'!C9</f>
        <v>34989500</v>
      </c>
      <c r="K21" s="723"/>
      <c r="L21" s="711">
        <f t="shared" si="3"/>
        <v>335756114</v>
      </c>
      <c r="M21" s="439"/>
    </row>
    <row r="22" spans="1:13" x14ac:dyDescent="0.25">
      <c r="A22" s="25">
        <v>17000</v>
      </c>
      <c r="B22" s="29" t="s">
        <v>9</v>
      </c>
      <c r="C22" s="19">
        <v>2.7883961720174572E-2</v>
      </c>
      <c r="D22" s="4">
        <f t="shared" si="0"/>
        <v>575203700</v>
      </c>
      <c r="E22" s="4"/>
      <c r="F22" s="5">
        <f t="shared" si="1"/>
        <v>575203700</v>
      </c>
      <c r="G22" s="31">
        <f>'2c Výkonová část segment 3'!V9</f>
        <v>2.7244543518200385E-2</v>
      </c>
      <c r="H22" s="5">
        <f t="shared" si="2"/>
        <v>172066927</v>
      </c>
      <c r="I22" s="227">
        <f>SUMIF('3a Ukazatel P - lékařské fakult'!$A$6:$A$13,'4 RO I'!A22,'3a Ukazatel P - lékařské fakult'!$E$6:$E$13)</f>
        <v>37114338</v>
      </c>
      <c r="J22" s="5"/>
      <c r="K22" s="723">
        <f>SUMIF('3c Ukazatel P - NLZSP'!$A$15:$A$27,'4 RO I'!A22,'3c Ukazatel P - NLZSP'!$K$15:$K$27)</f>
        <v>34162205.30246973</v>
      </c>
      <c r="L22" s="711">
        <f t="shared" si="3"/>
        <v>818547170.30246973</v>
      </c>
      <c r="M22" s="439"/>
    </row>
    <row r="23" spans="1:13" x14ac:dyDescent="0.25">
      <c r="A23" s="25">
        <v>18000</v>
      </c>
      <c r="B23" s="29" t="s">
        <v>10</v>
      </c>
      <c r="C23" s="19">
        <v>1.6988869327702848E-2</v>
      </c>
      <c r="D23" s="4">
        <f t="shared" si="0"/>
        <v>350454523</v>
      </c>
      <c r="E23" s="4"/>
      <c r="F23" s="5">
        <f t="shared" si="1"/>
        <v>350454523</v>
      </c>
      <c r="G23" s="31">
        <f>'2c Výkonová část segment 3'!V10</f>
        <v>1.9057156073764441E-2</v>
      </c>
      <c r="H23" s="5">
        <f>ROUND(G23*$C$6,0)</f>
        <v>120358276</v>
      </c>
      <c r="I23" s="227"/>
      <c r="J23" s="5"/>
      <c r="K23" s="723"/>
      <c r="L23" s="711">
        <f t="shared" si="3"/>
        <v>470812799</v>
      </c>
      <c r="M23" s="439"/>
    </row>
    <row r="24" spans="1:13" x14ac:dyDescent="0.25">
      <c r="A24" s="25">
        <v>19000</v>
      </c>
      <c r="B24" s="29" t="s">
        <v>11</v>
      </c>
      <c r="C24" s="19">
        <v>1.5380770044140011E-2</v>
      </c>
      <c r="D24" s="4">
        <f t="shared" si="0"/>
        <v>317281881</v>
      </c>
      <c r="E24" s="4"/>
      <c r="F24" s="5">
        <f t="shared" si="1"/>
        <v>317281881</v>
      </c>
      <c r="G24" s="31">
        <f>'2c Výkonová část segment 3'!V11</f>
        <v>9.9736116620513637E-3</v>
      </c>
      <c r="H24" s="5">
        <f t="shared" si="2"/>
        <v>62989813</v>
      </c>
      <c r="I24" s="227"/>
      <c r="J24" s="5"/>
      <c r="K24" s="723">
        <f>SUMIF('3c Ukazatel P - NLZSP'!$A$15:$A$27,'4 RO I'!A24,'3c Ukazatel P - NLZSP'!$K$15:$K$27)</f>
        <v>23486322.28460132</v>
      </c>
      <c r="L24" s="711">
        <f t="shared" si="3"/>
        <v>403758016.28460133</v>
      </c>
      <c r="M24" s="439"/>
    </row>
    <row r="25" spans="1:13" x14ac:dyDescent="0.25">
      <c r="A25" s="25">
        <v>21000</v>
      </c>
      <c r="B25" s="29" t="s">
        <v>12</v>
      </c>
      <c r="C25" s="19">
        <v>8.6000149591062336E-2</v>
      </c>
      <c r="D25" s="4">
        <f>ROUND(C25*$C$5,0)</f>
        <v>1774052221</v>
      </c>
      <c r="E25" s="4"/>
      <c r="F25" s="5">
        <f t="shared" si="1"/>
        <v>1774052221</v>
      </c>
      <c r="G25" s="30">
        <f>'2d Výkonová část segment 4'!V9</f>
        <v>8.5155378044723062E-2</v>
      </c>
      <c r="H25" s="5">
        <f t="shared" si="2"/>
        <v>537811331</v>
      </c>
      <c r="I25" s="227"/>
      <c r="J25" s="5"/>
      <c r="K25" s="723">
        <f>SUMIF('3c Ukazatel P - NLZSP'!$A$15:$A$27,'4 RO I'!A25,'3c Ukazatel P - NLZSP'!$K$15:$K$27)</f>
        <v>12846332.923062747</v>
      </c>
      <c r="L25" s="712">
        <f t="shared" si="3"/>
        <v>2324709884.9230628</v>
      </c>
      <c r="M25" s="439"/>
    </row>
    <row r="26" spans="1:13" x14ac:dyDescent="0.25">
      <c r="A26" s="25">
        <v>22000</v>
      </c>
      <c r="B26" s="29" t="s">
        <v>13</v>
      </c>
      <c r="C26" s="19">
        <v>2.2861221426518533E-2</v>
      </c>
      <c r="D26" s="4">
        <f t="shared" si="0"/>
        <v>471592211</v>
      </c>
      <c r="E26" s="4"/>
      <c r="F26" s="5">
        <f t="shared" si="1"/>
        <v>471592211</v>
      </c>
      <c r="G26" s="31">
        <f>'2c Výkonová část segment 3'!V12</f>
        <v>3.4657956869406335E-2</v>
      </c>
      <c r="H26" s="5">
        <f t="shared" si="2"/>
        <v>218887431</v>
      </c>
      <c r="I26" s="227"/>
      <c r="J26" s="5"/>
      <c r="K26" s="723"/>
      <c r="L26" s="711">
        <f t="shared" si="3"/>
        <v>690479642</v>
      </c>
      <c r="M26" s="439"/>
    </row>
    <row r="27" spans="1:13" x14ac:dyDescent="0.25">
      <c r="A27" s="25">
        <v>23000</v>
      </c>
      <c r="B27" s="29" t="s">
        <v>14</v>
      </c>
      <c r="C27" s="19">
        <v>3.7418715986449913E-2</v>
      </c>
      <c r="D27" s="4">
        <f t="shared" si="0"/>
        <v>771891171</v>
      </c>
      <c r="E27" s="4"/>
      <c r="F27" s="5">
        <f t="shared" si="1"/>
        <v>771891171</v>
      </c>
      <c r="G27" s="31">
        <f>'2c Výkonová část segment 3'!V13</f>
        <v>3.6948400585209165E-2</v>
      </c>
      <c r="H27" s="5">
        <f t="shared" si="2"/>
        <v>233353065</v>
      </c>
      <c r="I27" s="227"/>
      <c r="J27" s="5"/>
      <c r="K27" s="723">
        <f>SUMIF('3c Ukazatel P - NLZSP'!$A$15:$A$27,'4 RO I'!A27,'3c Ukazatel P - NLZSP'!$K$15:$K$27)</f>
        <v>31176840.217093654</v>
      </c>
      <c r="L27" s="711">
        <f t="shared" si="3"/>
        <v>1036421076.2170937</v>
      </c>
      <c r="M27" s="439"/>
    </row>
    <row r="28" spans="1:13" x14ac:dyDescent="0.25">
      <c r="A28" s="25">
        <v>24000</v>
      </c>
      <c r="B28" s="29" t="s">
        <v>15</v>
      </c>
      <c r="C28" s="19">
        <v>2.1809672008994151E-2</v>
      </c>
      <c r="D28" s="4">
        <f t="shared" si="0"/>
        <v>449900346</v>
      </c>
      <c r="E28" s="4"/>
      <c r="F28" s="5">
        <f t="shared" si="1"/>
        <v>449900346</v>
      </c>
      <c r="G28" s="31">
        <f>'2c Výkonová část segment 3'!V14</f>
        <v>1.7541896568812467E-2</v>
      </c>
      <c r="H28" s="5">
        <f t="shared" si="2"/>
        <v>110788431</v>
      </c>
      <c r="I28" s="227"/>
      <c r="J28" s="5"/>
      <c r="K28" s="723">
        <f>SUMIF('3c Ukazatel P - NLZSP'!$A$15:$A$27,'4 RO I'!A28,'3c Ukazatel P - NLZSP'!$K$15:$K$27)</f>
        <v>22983370.543425363</v>
      </c>
      <c r="L28" s="711">
        <f t="shared" si="3"/>
        <v>583672147.54342532</v>
      </c>
      <c r="M28" s="439"/>
    </row>
    <row r="29" spans="1:13" x14ac:dyDescent="0.25">
      <c r="A29" s="25">
        <v>25000</v>
      </c>
      <c r="B29" s="29" t="s">
        <v>16</v>
      </c>
      <c r="C29" s="19">
        <v>2.6156400983062163E-2</v>
      </c>
      <c r="D29" s="4">
        <f t="shared" si="0"/>
        <v>539566751</v>
      </c>
      <c r="E29" s="4"/>
      <c r="F29" s="5">
        <f>D29-E29</f>
        <v>539566751</v>
      </c>
      <c r="G29" s="31">
        <f>'2c Výkonová část segment 3'!V15</f>
        <v>2.245851017388371E-2</v>
      </c>
      <c r="H29" s="5">
        <f t="shared" si="2"/>
        <v>141840028</v>
      </c>
      <c r="I29" s="227"/>
      <c r="J29" s="5"/>
      <c r="K29" s="723">
        <f>SUMIF('3c Ukazatel P - NLZSP'!$A$15:$A$27,'4 RO I'!A29,'3c Ukazatel P - NLZSP'!$K$15:$K$27)</f>
        <v>34117006.325502232</v>
      </c>
      <c r="L29" s="711">
        <f t="shared" si="3"/>
        <v>715523785.32550228</v>
      </c>
      <c r="M29" s="439"/>
    </row>
    <row r="30" spans="1:13" x14ac:dyDescent="0.25">
      <c r="A30" s="25">
        <v>26000</v>
      </c>
      <c r="B30" s="29" t="s">
        <v>17</v>
      </c>
      <c r="C30" s="19">
        <v>6.9372909625618692E-2</v>
      </c>
      <c r="D30" s="4">
        <f t="shared" si="0"/>
        <v>1431057562</v>
      </c>
      <c r="E30" s="4"/>
      <c r="F30" s="5">
        <f t="shared" si="1"/>
        <v>1431057562</v>
      </c>
      <c r="G30" s="30">
        <f>'2d Výkonová část segment 4'!V10</f>
        <v>6.0846112220514358E-2</v>
      </c>
      <c r="H30" s="5">
        <f>ROUND(G30*$C$6,0)</f>
        <v>384282582</v>
      </c>
      <c r="I30" s="227"/>
      <c r="J30" s="5"/>
      <c r="K30" s="723"/>
      <c r="L30" s="712">
        <f t="shared" si="3"/>
        <v>1815340144</v>
      </c>
      <c r="M30" s="439"/>
    </row>
    <row r="31" spans="1:13" x14ac:dyDescent="0.25">
      <c r="A31" s="25">
        <v>27000</v>
      </c>
      <c r="B31" s="29" t="s">
        <v>18</v>
      </c>
      <c r="C31" s="19">
        <v>4.8347993229739039E-2</v>
      </c>
      <c r="D31" s="4">
        <f t="shared" si="0"/>
        <v>997345530</v>
      </c>
      <c r="E31" s="4"/>
      <c r="F31" s="5">
        <f t="shared" si="1"/>
        <v>997345530</v>
      </c>
      <c r="G31" s="31">
        <f>'2c Výkonová část segment 3'!V16</f>
        <v>3.5203673495541161E-2</v>
      </c>
      <c r="H31" s="5">
        <f t="shared" si="2"/>
        <v>222333984</v>
      </c>
      <c r="I31" s="227"/>
      <c r="J31" s="5"/>
      <c r="K31" s="723"/>
      <c r="L31" s="711">
        <f t="shared" si="3"/>
        <v>1219679514</v>
      </c>
      <c r="M31" s="439"/>
    </row>
    <row r="32" spans="1:13" x14ac:dyDescent="0.25">
      <c r="A32" s="25">
        <v>28000</v>
      </c>
      <c r="B32" s="29" t="s">
        <v>19</v>
      </c>
      <c r="C32" s="19">
        <v>3.1624516501885302E-2</v>
      </c>
      <c r="D32" s="4">
        <f>ROUND(C32*$C$5,0)</f>
        <v>652365653</v>
      </c>
      <c r="E32" s="4"/>
      <c r="F32" s="5">
        <f t="shared" si="1"/>
        <v>652365653</v>
      </c>
      <c r="G32" s="31">
        <f>'2c Výkonová část segment 3'!V17</f>
        <v>2.2361443429665714E-2</v>
      </c>
      <c r="H32" s="5">
        <f t="shared" si="2"/>
        <v>141226989</v>
      </c>
      <c r="I32" s="227"/>
      <c r="J32" s="5"/>
      <c r="K32" s="723">
        <f>SUMIF('3c Ukazatel P - NLZSP'!$A$15:$A$27,'4 RO I'!A32,'3c Ukazatel P - NLZSP'!$K$15:$K$27)</f>
        <v>22128572.859705366</v>
      </c>
      <c r="L32" s="711">
        <f t="shared" si="3"/>
        <v>815721214.85970533</v>
      </c>
      <c r="M32" s="439"/>
    </row>
    <row r="33" spans="1:13" x14ac:dyDescent="0.25">
      <c r="A33" s="25">
        <v>31000</v>
      </c>
      <c r="B33" s="29" t="s">
        <v>20</v>
      </c>
      <c r="C33" s="19">
        <v>3.6223762423103448E-2</v>
      </c>
      <c r="D33" s="4">
        <f t="shared" si="0"/>
        <v>747241098</v>
      </c>
      <c r="E33" s="4"/>
      <c r="F33" s="5">
        <f t="shared" si="1"/>
        <v>747241098</v>
      </c>
      <c r="G33" s="31">
        <f>'2c Výkonová část segment 3'!V18</f>
        <v>3.480230827614382E-2</v>
      </c>
      <c r="H33" s="5">
        <f t="shared" si="2"/>
        <v>219799103</v>
      </c>
      <c r="I33" s="227"/>
      <c r="J33" s="5"/>
      <c r="K33" s="723"/>
      <c r="L33" s="711">
        <f t="shared" si="3"/>
        <v>967040201</v>
      </c>
      <c r="M33" s="439"/>
    </row>
    <row r="34" spans="1:13" x14ac:dyDescent="0.25">
      <c r="A34" s="25">
        <v>41000</v>
      </c>
      <c r="B34" s="29" t="s">
        <v>21</v>
      </c>
      <c r="C34" s="19">
        <v>5.0773398703077011E-2</v>
      </c>
      <c r="D34" s="4">
        <f t="shared" si="0"/>
        <v>1047377954</v>
      </c>
      <c r="E34" s="4"/>
      <c r="F34" s="5">
        <f t="shared" si="1"/>
        <v>1047377954</v>
      </c>
      <c r="G34" s="31">
        <f>'2c Výkonová část segment 3'!V19</f>
        <v>4.8651381924744254E-2</v>
      </c>
      <c r="H34" s="5">
        <f>ROUND(G34*$C$6,0)</f>
        <v>307264967</v>
      </c>
      <c r="I34" s="227"/>
      <c r="J34" s="5"/>
      <c r="K34" s="723"/>
      <c r="L34" s="711">
        <f t="shared" si="3"/>
        <v>1354642921</v>
      </c>
      <c r="M34" s="439"/>
    </row>
    <row r="35" spans="1:13" x14ac:dyDescent="0.25">
      <c r="A35" s="25">
        <v>43000</v>
      </c>
      <c r="B35" s="29" t="s">
        <v>22</v>
      </c>
      <c r="C35" s="19">
        <v>2.9669895062079548E-2</v>
      </c>
      <c r="D35" s="4">
        <f>ROUND(C35*$C$5,0)</f>
        <v>612044787</v>
      </c>
      <c r="E35" s="4"/>
      <c r="F35" s="5">
        <f t="shared" si="1"/>
        <v>612044787</v>
      </c>
      <c r="G35" s="31">
        <f>'2c Výkonová část segment 3'!V20</f>
        <v>2.6513619201623314E-2</v>
      </c>
      <c r="H35" s="5">
        <f>ROUND(G35*$C$6,0)</f>
        <v>167450667</v>
      </c>
      <c r="I35" s="227"/>
      <c r="J35" s="5"/>
      <c r="K35" s="723"/>
      <c r="L35" s="711">
        <f t="shared" si="3"/>
        <v>779495454</v>
      </c>
      <c r="M35" s="439"/>
    </row>
    <row r="36" spans="1:13" x14ac:dyDescent="0.25">
      <c r="A36" s="25">
        <v>51000</v>
      </c>
      <c r="B36" s="29" t="s">
        <v>23</v>
      </c>
      <c r="C36" s="19">
        <v>1.8000000000000002E-2</v>
      </c>
      <c r="D36" s="4">
        <f t="shared" si="0"/>
        <v>371312610</v>
      </c>
      <c r="E36" s="4"/>
      <c r="F36" s="5">
        <f t="shared" si="1"/>
        <v>371312610</v>
      </c>
      <c r="G36" s="31">
        <f>'2a Výkonová část segment 1'!R6</f>
        <v>2.5008972183671232E-2</v>
      </c>
      <c r="H36" s="5">
        <f t="shared" si="2"/>
        <v>157947847</v>
      </c>
      <c r="I36" s="227"/>
      <c r="J36" s="5"/>
      <c r="K36" s="723"/>
      <c r="L36" s="713">
        <f t="shared" si="3"/>
        <v>529260457</v>
      </c>
      <c r="M36" s="439"/>
    </row>
    <row r="37" spans="1:13" x14ac:dyDescent="0.25">
      <c r="A37" s="25">
        <v>52000</v>
      </c>
      <c r="B37" s="29" t="s">
        <v>24</v>
      </c>
      <c r="C37" s="19">
        <v>4.7280000000000004E-3</v>
      </c>
      <c r="D37" s="4">
        <f t="shared" si="0"/>
        <v>97531445</v>
      </c>
      <c r="E37" s="4"/>
      <c r="F37" s="5">
        <f t="shared" si="1"/>
        <v>97531445</v>
      </c>
      <c r="G37" s="31">
        <f>'2a Výkonová část segment 1'!R7</f>
        <v>7.8776566802063724E-3</v>
      </c>
      <c r="H37" s="5">
        <f t="shared" si="2"/>
        <v>49752501</v>
      </c>
      <c r="I37" s="227"/>
      <c r="J37" s="5"/>
      <c r="K37" s="723"/>
      <c r="L37" s="713">
        <f t="shared" si="3"/>
        <v>147283946</v>
      </c>
      <c r="M37" s="439"/>
    </row>
    <row r="38" spans="1:13" x14ac:dyDescent="0.25">
      <c r="A38" s="25">
        <v>53000</v>
      </c>
      <c r="B38" s="29" t="s">
        <v>25</v>
      </c>
      <c r="C38" s="19">
        <v>6.9680000000000002E-3</v>
      </c>
      <c r="D38" s="4">
        <f t="shared" si="0"/>
        <v>143739237</v>
      </c>
      <c r="E38" s="4"/>
      <c r="F38" s="5">
        <f t="shared" si="1"/>
        <v>143739237</v>
      </c>
      <c r="G38" s="31">
        <f>'2a Výkonová část segment 1'!R8</f>
        <v>1.2091426212554414E-2</v>
      </c>
      <c r="H38" s="5">
        <f t="shared" si="2"/>
        <v>76365183</v>
      </c>
      <c r="I38" s="227"/>
      <c r="J38" s="5"/>
      <c r="K38" s="723"/>
      <c r="L38" s="713">
        <f t="shared" si="3"/>
        <v>220104420</v>
      </c>
      <c r="M38" s="439"/>
    </row>
    <row r="39" spans="1:13" x14ac:dyDescent="0.25">
      <c r="A39" s="25">
        <v>54000</v>
      </c>
      <c r="B39" s="29" t="s">
        <v>196</v>
      </c>
      <c r="C39" s="19">
        <v>1.0304000000000001E-2</v>
      </c>
      <c r="D39" s="4">
        <f t="shared" si="0"/>
        <v>212555841</v>
      </c>
      <c r="E39" s="4"/>
      <c r="F39" s="5">
        <f t="shared" si="1"/>
        <v>212555841</v>
      </c>
      <c r="G39" s="31">
        <f>'2a Výkonová část segment 1'!R9</f>
        <v>1.1155436011969267E-2</v>
      </c>
      <c r="H39" s="5">
        <f t="shared" si="2"/>
        <v>70453799</v>
      </c>
      <c r="I39" s="227"/>
      <c r="J39" s="5"/>
      <c r="K39" s="723"/>
      <c r="L39" s="713">
        <f t="shared" si="3"/>
        <v>283009640</v>
      </c>
      <c r="M39" s="439"/>
    </row>
    <row r="40" spans="1:13" x14ac:dyDescent="0.25">
      <c r="A40" s="25">
        <v>55000</v>
      </c>
      <c r="B40" s="29" t="s">
        <v>26</v>
      </c>
      <c r="C40" s="19">
        <v>5.8242555510266344E-3</v>
      </c>
      <c r="D40" s="4">
        <f t="shared" si="0"/>
        <v>120145529</v>
      </c>
      <c r="E40" s="4"/>
      <c r="F40" s="5">
        <f t="shared" si="1"/>
        <v>120145529</v>
      </c>
      <c r="G40" s="3">
        <f>'2b Výkonová část segment 2'!J6</f>
        <v>6.2886167276284518E-3</v>
      </c>
      <c r="H40" s="5">
        <f t="shared" si="2"/>
        <v>39716685</v>
      </c>
      <c r="I40" s="227"/>
      <c r="J40" s="5"/>
      <c r="K40" s="723">
        <f>SUMIF('3c Ukazatel P - NLZSP'!$A$15:$A$27,'4 RO I'!A40,'3c Ukazatel P - NLZSP'!$K$15:$K$27)</f>
        <v>24766967.923408367</v>
      </c>
      <c r="L40" s="714">
        <f t="shared" si="3"/>
        <v>184629181.92340836</v>
      </c>
      <c r="M40" s="439"/>
    </row>
    <row r="41" spans="1:13" ht="15" customHeight="1" thickBot="1" x14ac:dyDescent="0.3">
      <c r="A41" s="32">
        <v>56000</v>
      </c>
      <c r="B41" s="33" t="s">
        <v>27</v>
      </c>
      <c r="C41" s="34">
        <v>8.1329114759375667E-3</v>
      </c>
      <c r="D41" s="6">
        <f t="shared" si="0"/>
        <v>167769588</v>
      </c>
      <c r="E41" s="6"/>
      <c r="F41" s="7">
        <f t="shared" si="1"/>
        <v>167769588</v>
      </c>
      <c r="G41" s="3">
        <f>'2b Výkonová část segment 2'!J7</f>
        <v>6.8664147748541465E-3</v>
      </c>
      <c r="H41" s="7">
        <f t="shared" si="2"/>
        <v>43365854</v>
      </c>
      <c r="I41" s="229"/>
      <c r="J41" s="7"/>
      <c r="K41" s="724"/>
      <c r="L41" s="715">
        <f t="shared" si="3"/>
        <v>211135442</v>
      </c>
      <c r="M41" s="439"/>
    </row>
    <row r="42" spans="1:13" ht="15.75" thickBot="1" x14ac:dyDescent="0.3">
      <c r="A42" s="880" t="s">
        <v>28</v>
      </c>
      <c r="B42" s="903"/>
      <c r="C42" s="20">
        <f t="shared" ref="C42:L42" si="4">SUM(C16:C41)</f>
        <v>0.99999999999999956</v>
      </c>
      <c r="D42" s="9">
        <f t="shared" si="4"/>
        <v>20628478318</v>
      </c>
      <c r="E42" s="9">
        <f t="shared" si="4"/>
        <v>0</v>
      </c>
      <c r="F42" s="10">
        <f t="shared" si="4"/>
        <v>20628478318</v>
      </c>
      <c r="G42" s="8">
        <f t="shared" si="4"/>
        <v>1</v>
      </c>
      <c r="H42" s="10">
        <f t="shared" si="4"/>
        <v>6315647266</v>
      </c>
      <c r="I42" s="230">
        <f t="shared" si="4"/>
        <v>700000000</v>
      </c>
      <c r="J42" s="10">
        <f t="shared" si="4"/>
        <v>34989500</v>
      </c>
      <c r="K42" s="725">
        <f t="shared" si="4"/>
        <v>394000000.00000018</v>
      </c>
      <c r="L42" s="647">
        <f t="shared" si="4"/>
        <v>28073115084</v>
      </c>
      <c r="M42" s="439"/>
    </row>
    <row r="43" spans="1:13" ht="18" x14ac:dyDescent="0.3">
      <c r="A43" s="21"/>
      <c r="B43" s="15"/>
      <c r="C43" s="15"/>
      <c r="D43" s="15"/>
      <c r="E43" s="15"/>
      <c r="F43" s="15"/>
      <c r="G43" s="15"/>
      <c r="H43" s="22"/>
      <c r="I43" s="15"/>
    </row>
    <row r="44" spans="1:13" x14ac:dyDescent="0.25">
      <c r="D44" s="731"/>
      <c r="E44" s="781"/>
      <c r="G44" s="782"/>
      <c r="H44" s="438"/>
    </row>
    <row r="45" spans="1:13" x14ac:dyDescent="0.25">
      <c r="A45" s="441" t="s">
        <v>187</v>
      </c>
      <c r="C45" s="340"/>
      <c r="D45" s="439"/>
      <c r="E45" s="781"/>
      <c r="G45" s="782"/>
      <c r="H45" s="438"/>
    </row>
    <row r="46" spans="1:13" x14ac:dyDescent="0.25">
      <c r="C46" s="340"/>
      <c r="D46" s="439"/>
      <c r="E46" s="781"/>
      <c r="G46" s="782"/>
      <c r="H46" s="438"/>
    </row>
    <row r="47" spans="1:13" x14ac:dyDescent="0.25">
      <c r="C47" s="340"/>
      <c r="D47" s="439"/>
      <c r="E47" s="781"/>
      <c r="G47" s="782"/>
      <c r="H47" s="438"/>
    </row>
    <row r="48" spans="1:13" x14ac:dyDescent="0.25">
      <c r="C48" s="340"/>
      <c r="D48" s="439"/>
      <c r="E48" s="340"/>
      <c r="G48" s="655"/>
      <c r="H48" s="438"/>
    </row>
    <row r="49" spans="4:8" x14ac:dyDescent="0.25">
      <c r="D49" s="439"/>
      <c r="H49" s="438"/>
    </row>
    <row r="50" spans="4:8" x14ac:dyDescent="0.25">
      <c r="D50" s="439"/>
      <c r="H50" s="438"/>
    </row>
    <row r="51" spans="4:8" x14ac:dyDescent="0.25">
      <c r="D51" s="439"/>
      <c r="H51" s="438"/>
    </row>
    <row r="52" spans="4:8" x14ac:dyDescent="0.25">
      <c r="D52" s="439"/>
      <c r="H52" s="438"/>
    </row>
    <row r="53" spans="4:8" x14ac:dyDescent="0.25">
      <c r="D53" s="439"/>
      <c r="H53" s="438"/>
    </row>
    <row r="54" spans="4:8" x14ac:dyDescent="0.25">
      <c r="D54" s="439"/>
      <c r="H54" s="438"/>
    </row>
    <row r="55" spans="4:8" x14ac:dyDescent="0.25">
      <c r="D55" s="439"/>
      <c r="H55" s="438"/>
    </row>
    <row r="56" spans="4:8" x14ac:dyDescent="0.25">
      <c r="D56" s="439"/>
      <c r="H56" s="438"/>
    </row>
    <row r="57" spans="4:8" x14ac:dyDescent="0.25">
      <c r="D57" s="439"/>
      <c r="H57" s="438"/>
    </row>
    <row r="58" spans="4:8" x14ac:dyDescent="0.25">
      <c r="D58" s="439"/>
      <c r="H58" s="438"/>
    </row>
    <row r="59" spans="4:8" x14ac:dyDescent="0.25">
      <c r="D59" s="439"/>
      <c r="H59" s="438"/>
    </row>
    <row r="60" spans="4:8" x14ac:dyDescent="0.25">
      <c r="D60" s="439"/>
      <c r="H60" s="438"/>
    </row>
    <row r="61" spans="4:8" x14ac:dyDescent="0.25">
      <c r="D61" s="439"/>
      <c r="H61" s="438"/>
    </row>
    <row r="62" spans="4:8" x14ac:dyDescent="0.25">
      <c r="D62" s="439"/>
      <c r="H62" s="438"/>
    </row>
    <row r="63" spans="4:8" x14ac:dyDescent="0.25">
      <c r="D63" s="439"/>
      <c r="H63" s="438"/>
    </row>
    <row r="64" spans="4:8" x14ac:dyDescent="0.25">
      <c r="D64" s="439"/>
      <c r="H64" s="438"/>
    </row>
    <row r="65" spans="4:8" x14ac:dyDescent="0.25">
      <c r="D65" s="439"/>
      <c r="H65" s="438"/>
    </row>
    <row r="66" spans="4:8" x14ac:dyDescent="0.25">
      <c r="D66" s="439"/>
      <c r="H66" s="438"/>
    </row>
    <row r="67" spans="4:8" x14ac:dyDescent="0.25">
      <c r="D67" s="439"/>
      <c r="H67" s="438"/>
    </row>
    <row r="68" spans="4:8" x14ac:dyDescent="0.25">
      <c r="D68" s="439"/>
      <c r="H68" s="438"/>
    </row>
    <row r="69" spans="4:8" x14ac:dyDescent="0.25">
      <c r="D69" s="439"/>
      <c r="H69" s="438"/>
    </row>
    <row r="70" spans="4:8" x14ac:dyDescent="0.25">
      <c r="D70" s="439"/>
    </row>
    <row r="71" spans="4:8" x14ac:dyDescent="0.25">
      <c r="D71" s="439"/>
    </row>
    <row r="72" spans="4:8" x14ac:dyDescent="0.25">
      <c r="D72" s="439"/>
    </row>
  </sheetData>
  <mergeCells count="16">
    <mergeCell ref="A42:B42"/>
    <mergeCell ref="C14:C15"/>
    <mergeCell ref="B13:B15"/>
    <mergeCell ref="A13:A15"/>
    <mergeCell ref="L13:L15"/>
    <mergeCell ref="I14:I15"/>
    <mergeCell ref="E14:E15"/>
    <mergeCell ref="D14:D15"/>
    <mergeCell ref="C13:F13"/>
    <mergeCell ref="G13:H13"/>
    <mergeCell ref="H14:H15"/>
    <mergeCell ref="G14:G15"/>
    <mergeCell ref="F14:F15"/>
    <mergeCell ref="J14:J15"/>
    <mergeCell ref="I13:K13"/>
    <mergeCell ref="K14:K15"/>
  </mergeCells>
  <hyperlinks>
    <hyperlink ref="A45" location="'0 Seznam'!A1" display="Seznam" xr:uid="{2DA5C60E-B7A3-486B-B3EF-A15D8A74DA0F}"/>
  </hyperlinks>
  <pageMargins left="0.25" right="0.25" top="0.75" bottom="0.75" header="0.3" footer="0.3"/>
  <pageSetup paperSize="8" scale="68" orientation="landscape" r:id="rId1"/>
  <headerFooter>
    <oddHeader xml:space="preserve">&amp;LČ. j.: MSMT-5003/2026-1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E38"/>
  <sheetViews>
    <sheetView zoomScale="85" zoomScaleNormal="85" workbookViewId="0">
      <selection activeCell="G30" sqref="G30"/>
    </sheetView>
  </sheetViews>
  <sheetFormatPr defaultRowHeight="15" x14ac:dyDescent="0.25"/>
  <cols>
    <col min="1" max="1" width="11.5703125" customWidth="1"/>
    <col min="2" max="2" width="74.85546875" bestFit="1" customWidth="1"/>
    <col min="3" max="4" width="20.7109375" customWidth="1"/>
    <col min="5" max="5" width="28" customWidth="1"/>
    <col min="8" max="8" width="17" customWidth="1"/>
    <col min="9" max="9" width="34" customWidth="1"/>
  </cols>
  <sheetData>
    <row r="1" spans="1:5" ht="27.75" x14ac:dyDescent="0.25">
      <c r="A1" s="939" t="s">
        <v>80</v>
      </c>
      <c r="B1" s="939"/>
      <c r="C1" s="939"/>
      <c r="D1" s="939"/>
    </row>
    <row r="2" spans="1:5" ht="19.5" x14ac:dyDescent="0.25">
      <c r="A2" s="182"/>
      <c r="B2" s="182"/>
      <c r="C2" s="182"/>
      <c r="D2" s="182"/>
    </row>
    <row r="3" spans="1:5" ht="20.25" x14ac:dyDescent="0.25">
      <c r="A3" s="183" t="s">
        <v>234</v>
      </c>
      <c r="B3" s="182"/>
      <c r="C3" s="182"/>
      <c r="D3" s="182"/>
    </row>
    <row r="4" spans="1:5" ht="26.25" x14ac:dyDescent="0.25">
      <c r="A4" s="184"/>
      <c r="B4" s="184"/>
      <c r="C4" s="184"/>
      <c r="D4" s="184"/>
    </row>
    <row r="5" spans="1:5" x14ac:dyDescent="0.25">
      <c r="A5" s="185"/>
      <c r="B5" s="604" t="s">
        <v>235</v>
      </c>
      <c r="C5" s="612">
        <f>'1 Bilance'!J23</f>
        <v>2105121150</v>
      </c>
      <c r="D5" t="s">
        <v>33</v>
      </c>
    </row>
    <row r="6" spans="1:5" x14ac:dyDescent="0.25">
      <c r="A6" s="185"/>
      <c r="B6" s="186"/>
      <c r="C6" s="187"/>
      <c r="D6" s="187"/>
    </row>
    <row r="7" spans="1:5" ht="15.75" thickBot="1" x14ac:dyDescent="0.3">
      <c r="A7" s="188"/>
      <c r="B7" s="188"/>
      <c r="C7" s="188"/>
      <c r="D7" s="189" t="s">
        <v>0</v>
      </c>
    </row>
    <row r="8" spans="1:5" ht="30.75" thickBot="1" x14ac:dyDescent="0.3">
      <c r="A8" s="190" t="s">
        <v>2</v>
      </c>
      <c r="B8" s="191" t="s">
        <v>3</v>
      </c>
      <c r="C8" s="192" t="s">
        <v>29</v>
      </c>
      <c r="D8" s="193" t="s">
        <v>81</v>
      </c>
    </row>
    <row r="9" spans="1:5" x14ac:dyDescent="0.25">
      <c r="A9" s="194">
        <v>11000</v>
      </c>
      <c r="B9" s="195" t="s">
        <v>4</v>
      </c>
      <c r="C9" s="609">
        <v>0.29311435139828695</v>
      </c>
      <c r="D9" s="196">
        <f>ROUND(C9*$C$5,0)</f>
        <v>617041220</v>
      </c>
      <c r="E9" s="656"/>
    </row>
    <row r="10" spans="1:5" x14ac:dyDescent="0.25">
      <c r="A10" s="194">
        <v>12000</v>
      </c>
      <c r="B10" s="195" t="s">
        <v>5</v>
      </c>
      <c r="C10" s="609">
        <v>3.2267204303461902E-2</v>
      </c>
      <c r="D10" s="197">
        <f t="shared" ref="D10:D34" si="0">ROUND(C10*$C$5,0)</f>
        <v>67926374</v>
      </c>
      <c r="E10" s="656"/>
    </row>
    <row r="11" spans="1:5" x14ac:dyDescent="0.25">
      <c r="A11" s="194">
        <v>13000</v>
      </c>
      <c r="B11" s="195" t="s">
        <v>6</v>
      </c>
      <c r="C11" s="609">
        <v>1.0761449219348435E-2</v>
      </c>
      <c r="D11" s="197">
        <f t="shared" si="0"/>
        <v>22654154</v>
      </c>
      <c r="E11" s="656"/>
    </row>
    <row r="12" spans="1:5" x14ac:dyDescent="0.25">
      <c r="A12" s="194">
        <v>14000</v>
      </c>
      <c r="B12" s="195" t="s">
        <v>7</v>
      </c>
      <c r="C12" s="609">
        <v>0.14403572179646834</v>
      </c>
      <c r="D12" s="197">
        <f t="shared" si="0"/>
        <v>303212644</v>
      </c>
      <c r="E12" s="656"/>
    </row>
    <row r="13" spans="1:5" x14ac:dyDescent="0.25">
      <c r="A13" s="194">
        <v>15000</v>
      </c>
      <c r="B13" s="195" t="s">
        <v>8</v>
      </c>
      <c r="C13" s="609">
        <v>6.8498667535411659E-2</v>
      </c>
      <c r="D13" s="197">
        <f t="shared" si="0"/>
        <v>144197994</v>
      </c>
      <c r="E13" s="656"/>
    </row>
    <row r="14" spans="1:5" x14ac:dyDescent="0.25">
      <c r="A14" s="194">
        <v>16000</v>
      </c>
      <c r="B14" s="195" t="s">
        <v>193</v>
      </c>
      <c r="C14" s="609">
        <v>8.0752319236445762E-3</v>
      </c>
      <c r="D14" s="197">
        <f t="shared" si="0"/>
        <v>16999342</v>
      </c>
      <c r="E14" s="656"/>
    </row>
    <row r="15" spans="1:5" x14ac:dyDescent="0.25">
      <c r="A15" s="194">
        <v>17000</v>
      </c>
      <c r="B15" s="195" t="s">
        <v>9</v>
      </c>
      <c r="C15" s="609">
        <v>1.686307747547806E-2</v>
      </c>
      <c r="D15" s="197">
        <f t="shared" si="0"/>
        <v>35498821</v>
      </c>
      <c r="E15" s="656"/>
    </row>
    <row r="16" spans="1:5" x14ac:dyDescent="0.25">
      <c r="A16" s="194">
        <v>18000</v>
      </c>
      <c r="B16" s="195" t="s">
        <v>10</v>
      </c>
      <c r="C16" s="609">
        <v>8.5674263853875929E-3</v>
      </c>
      <c r="D16" s="197">
        <f>ROUND(C16*$C$5+0.2,0)</f>
        <v>18035471</v>
      </c>
      <c r="E16" s="656"/>
    </row>
    <row r="17" spans="1:5" x14ac:dyDescent="0.25">
      <c r="A17" s="194">
        <v>19000</v>
      </c>
      <c r="B17" s="195" t="s">
        <v>11</v>
      </c>
      <c r="C17" s="609">
        <v>3.3947234060760123E-3</v>
      </c>
      <c r="D17" s="197">
        <f t="shared" si="0"/>
        <v>7146304</v>
      </c>
      <c r="E17" s="656"/>
    </row>
    <row r="18" spans="1:5" x14ac:dyDescent="0.25">
      <c r="A18" s="194">
        <v>21000</v>
      </c>
      <c r="B18" s="195" t="s">
        <v>12</v>
      </c>
      <c r="C18" s="609">
        <v>8.2728999556149194E-2</v>
      </c>
      <c r="D18" s="197">
        <f t="shared" si="0"/>
        <v>174154567</v>
      </c>
      <c r="E18" s="656"/>
    </row>
    <row r="19" spans="1:5" x14ac:dyDescent="0.25">
      <c r="A19" s="194">
        <v>22000</v>
      </c>
      <c r="B19" s="195" t="s">
        <v>13</v>
      </c>
      <c r="C19" s="609">
        <v>4.4272433326412571E-2</v>
      </c>
      <c r="D19" s="197">
        <f t="shared" si="0"/>
        <v>93198836</v>
      </c>
      <c r="E19" s="656"/>
    </row>
    <row r="20" spans="1:5" x14ac:dyDescent="0.25">
      <c r="A20" s="194">
        <v>23000</v>
      </c>
      <c r="B20" s="195" t="s">
        <v>14</v>
      </c>
      <c r="C20" s="609">
        <v>2.352665106441432E-2</v>
      </c>
      <c r="D20" s="197">
        <f>ROUND(C20*$C$5,0)</f>
        <v>49526451</v>
      </c>
      <c r="E20" s="656"/>
    </row>
    <row r="21" spans="1:5" x14ac:dyDescent="0.25">
      <c r="A21" s="194">
        <v>24000</v>
      </c>
      <c r="B21" s="195" t="s">
        <v>15</v>
      </c>
      <c r="C21" s="609">
        <v>1.1927093796093056E-2</v>
      </c>
      <c r="D21" s="197">
        <f t="shared" si="0"/>
        <v>25107977</v>
      </c>
      <c r="E21" s="656"/>
    </row>
    <row r="22" spans="1:5" x14ac:dyDescent="0.25">
      <c r="A22" s="194">
        <v>25000</v>
      </c>
      <c r="B22" s="195" t="s">
        <v>16</v>
      </c>
      <c r="C22" s="609">
        <v>1.4614150108473251E-2</v>
      </c>
      <c r="D22" s="197">
        <f t="shared" si="0"/>
        <v>30764556</v>
      </c>
      <c r="E22" s="656"/>
    </row>
    <row r="23" spans="1:5" x14ac:dyDescent="0.25">
      <c r="A23" s="194">
        <v>26000</v>
      </c>
      <c r="B23" s="195" t="s">
        <v>17</v>
      </c>
      <c r="C23" s="609">
        <v>7.5167199926605421E-2</v>
      </c>
      <c r="D23" s="197">
        <f t="shared" si="0"/>
        <v>158236062</v>
      </c>
      <c r="E23" s="656"/>
    </row>
    <row r="24" spans="1:5" x14ac:dyDescent="0.25">
      <c r="A24" s="194">
        <v>27000</v>
      </c>
      <c r="B24" s="195" t="s">
        <v>18</v>
      </c>
      <c r="C24" s="609">
        <v>4.0058496173193174E-2</v>
      </c>
      <c r="D24" s="197">
        <f t="shared" si="0"/>
        <v>84327988</v>
      </c>
      <c r="E24" s="656"/>
    </row>
    <row r="25" spans="1:5" x14ac:dyDescent="0.25">
      <c r="A25" s="194">
        <v>28000</v>
      </c>
      <c r="B25" s="195" t="s">
        <v>19</v>
      </c>
      <c r="C25" s="609">
        <v>1.2623299723462969E-2</v>
      </c>
      <c r="D25" s="197">
        <f t="shared" si="0"/>
        <v>26573575</v>
      </c>
      <c r="E25" s="656"/>
    </row>
    <row r="26" spans="1:5" x14ac:dyDescent="0.25">
      <c r="A26" s="194">
        <v>31000</v>
      </c>
      <c r="B26" s="195" t="s">
        <v>20</v>
      </c>
      <c r="C26" s="609">
        <v>1.6263842873047312E-2</v>
      </c>
      <c r="D26" s="197">
        <f t="shared" si="0"/>
        <v>34237360</v>
      </c>
      <c r="E26" s="656"/>
    </row>
    <row r="27" spans="1:5" x14ac:dyDescent="0.25">
      <c r="A27" s="194">
        <v>41000</v>
      </c>
      <c r="B27" s="195" t="s">
        <v>21</v>
      </c>
      <c r="C27" s="609">
        <v>5.1815589360094352E-2</v>
      </c>
      <c r="D27" s="197">
        <f t="shared" si="0"/>
        <v>109078093</v>
      </c>
      <c r="E27" s="656"/>
    </row>
    <row r="28" spans="1:5" x14ac:dyDescent="0.25">
      <c r="A28" s="194">
        <v>43000</v>
      </c>
      <c r="B28" s="195" t="s">
        <v>22</v>
      </c>
      <c r="C28" s="609">
        <v>2.7287614164760238E-2</v>
      </c>
      <c r="D28" s="197">
        <f t="shared" si="0"/>
        <v>57443734</v>
      </c>
      <c r="E28" s="656"/>
    </row>
    <row r="29" spans="1:5" x14ac:dyDescent="0.25">
      <c r="A29" s="194">
        <v>51000</v>
      </c>
      <c r="B29" s="195" t="s">
        <v>23</v>
      </c>
      <c r="C29" s="609">
        <v>6.1297863630743682E-3</v>
      </c>
      <c r="D29" s="197">
        <f t="shared" si="0"/>
        <v>12903943</v>
      </c>
      <c r="E29" s="656"/>
    </row>
    <row r="30" spans="1:5" x14ac:dyDescent="0.25">
      <c r="A30" s="194">
        <v>52000</v>
      </c>
      <c r="B30" s="195" t="s">
        <v>24</v>
      </c>
      <c r="C30" s="609">
        <v>1.7635650610979363E-3</v>
      </c>
      <c r="D30" s="197">
        <f t="shared" si="0"/>
        <v>3712518</v>
      </c>
      <c r="E30" s="656"/>
    </row>
    <row r="31" spans="1:5" x14ac:dyDescent="0.25">
      <c r="A31" s="194">
        <v>53000</v>
      </c>
      <c r="B31" s="195" t="s">
        <v>25</v>
      </c>
      <c r="C31" s="609">
        <v>2.9096516021599361E-3</v>
      </c>
      <c r="D31" s="197">
        <f t="shared" si="0"/>
        <v>6125169</v>
      </c>
      <c r="E31" s="656"/>
    </row>
    <row r="32" spans="1:5" x14ac:dyDescent="0.25">
      <c r="A32" s="194">
        <v>54000</v>
      </c>
      <c r="B32" s="195" t="s">
        <v>196</v>
      </c>
      <c r="C32" s="609">
        <v>3.3337734573983153E-3</v>
      </c>
      <c r="D32" s="197">
        <f t="shared" si="0"/>
        <v>7017997</v>
      </c>
      <c r="E32" s="656"/>
    </row>
    <row r="33" spans="1:5" x14ac:dyDescent="0.25">
      <c r="A33" s="194">
        <v>55000</v>
      </c>
      <c r="B33" s="195" t="s">
        <v>26</v>
      </c>
      <c r="C33" s="609">
        <v>0</v>
      </c>
      <c r="D33" s="197">
        <f t="shared" si="0"/>
        <v>0</v>
      </c>
      <c r="E33" s="656"/>
    </row>
    <row r="34" spans="1:5" ht="15.75" thickBot="1" x14ac:dyDescent="0.3">
      <c r="A34" s="198">
        <v>56000</v>
      </c>
      <c r="B34" s="199" t="s">
        <v>27</v>
      </c>
      <c r="C34" s="610">
        <v>0</v>
      </c>
      <c r="D34" s="200">
        <f t="shared" si="0"/>
        <v>0</v>
      </c>
      <c r="E34" s="656"/>
    </row>
    <row r="35" spans="1:5" ht="15.75" thickBot="1" x14ac:dyDescent="0.3">
      <c r="A35" s="201"/>
      <c r="B35" s="202" t="s">
        <v>28</v>
      </c>
      <c r="C35" s="611">
        <f>SUM(C9:C34)</f>
        <v>0.99999999999999989</v>
      </c>
      <c r="D35" s="203">
        <f>SUM(D9:D34)</f>
        <v>2105121150</v>
      </c>
    </row>
    <row r="36" spans="1:5" x14ac:dyDescent="0.25">
      <c r="A36" s="204"/>
      <c r="B36" s="205"/>
      <c r="C36" s="205"/>
      <c r="D36" s="205"/>
    </row>
    <row r="38" spans="1:5" x14ac:dyDescent="0.25">
      <c r="A38" s="441" t="s">
        <v>187</v>
      </c>
    </row>
  </sheetData>
  <mergeCells count="1">
    <mergeCell ref="A1:D1"/>
  </mergeCells>
  <hyperlinks>
    <hyperlink ref="A38" location="'0 Seznam'!A1" display="Seznam" xr:uid="{AAF16864-1CF8-4CF3-AAA7-7731BF62D60A}"/>
  </hyperlinks>
  <pageMargins left="0.70866141732283472" right="0.70866141732283472" top="0.78740157480314965" bottom="0.78740157480314965" header="0.31496062992125984" footer="0.31496062992125984"/>
  <pageSetup paperSize="9" scale="73" orientation="landscape" r:id="rId1"/>
  <headerFooter>
    <oddHeader xml:space="preserve">&amp;LČ. j.: MSMT-5003/2026-1
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E45"/>
  <sheetViews>
    <sheetView zoomScale="85" zoomScaleNormal="85" workbookViewId="0">
      <selection activeCell="A4" sqref="A4"/>
    </sheetView>
  </sheetViews>
  <sheetFormatPr defaultRowHeight="15" x14ac:dyDescent="0.25"/>
  <cols>
    <col min="1" max="1" width="9.42578125" customWidth="1"/>
    <col min="2" max="2" width="56.140625" customWidth="1"/>
    <col min="3" max="3" width="13.7109375" customWidth="1"/>
    <col min="4" max="4" width="14.140625" customWidth="1"/>
    <col min="8" max="8" width="12.5703125" bestFit="1" customWidth="1"/>
    <col min="9" max="9" width="10.5703125" bestFit="1" customWidth="1"/>
  </cols>
  <sheetData>
    <row r="1" spans="1:4" ht="27.75" x14ac:dyDescent="0.25">
      <c r="A1" s="206" t="s">
        <v>82</v>
      </c>
      <c r="B1" s="188"/>
      <c r="C1" s="188"/>
      <c r="D1" s="188"/>
    </row>
    <row r="2" spans="1:4" ht="23.25" x14ac:dyDescent="0.25">
      <c r="A2" s="207"/>
      <c r="B2" s="188"/>
      <c r="C2" s="188"/>
      <c r="D2" s="188"/>
    </row>
    <row r="3" spans="1:4" ht="20.25" x14ac:dyDescent="0.25">
      <c r="A3" s="208" t="s">
        <v>282</v>
      </c>
      <c r="B3" s="188"/>
      <c r="C3" s="188"/>
      <c r="D3" s="188"/>
    </row>
    <row r="4" spans="1:4" x14ac:dyDescent="0.25">
      <c r="A4" s="205"/>
      <c r="B4" s="205"/>
      <c r="C4" s="205"/>
      <c r="D4" s="205"/>
    </row>
    <row r="5" spans="1:4" ht="20.25" x14ac:dyDescent="0.25">
      <c r="A5" s="208" t="s">
        <v>83</v>
      </c>
      <c r="B5" s="209"/>
      <c r="C5" s="209"/>
      <c r="D5" s="209"/>
    </row>
    <row r="6" spans="1:4" x14ac:dyDescent="0.25">
      <c r="A6" s="210"/>
      <c r="B6" s="188"/>
      <c r="C6" s="188"/>
      <c r="D6" s="188"/>
    </row>
    <row r="7" spans="1:4" x14ac:dyDescent="0.25">
      <c r="A7" s="944" t="s">
        <v>84</v>
      </c>
      <c r="B7" s="945"/>
      <c r="C7" s="946"/>
      <c r="D7" s="211">
        <v>151155</v>
      </c>
    </row>
    <row r="8" spans="1:4" x14ac:dyDescent="0.25">
      <c r="A8" s="944" t="s">
        <v>85</v>
      </c>
      <c r="B8" s="945"/>
      <c r="C8" s="946"/>
      <c r="D8" s="211">
        <v>11226</v>
      </c>
    </row>
    <row r="9" spans="1:4" x14ac:dyDescent="0.25">
      <c r="A9" s="944" t="s">
        <v>86</v>
      </c>
      <c r="B9" s="945"/>
      <c r="C9" s="946"/>
      <c r="D9" s="211">
        <v>6150</v>
      </c>
    </row>
    <row r="10" spans="1:4" x14ac:dyDescent="0.25">
      <c r="A10" s="944" t="s">
        <v>87</v>
      </c>
      <c r="B10" s="945"/>
      <c r="C10" s="946"/>
      <c r="D10" s="211">
        <f>D43</f>
        <v>929603250</v>
      </c>
    </row>
    <row r="11" spans="1:4" x14ac:dyDescent="0.25">
      <c r="A11" s="947" t="s">
        <v>188</v>
      </c>
      <c r="B11" s="948"/>
      <c r="C11" s="949"/>
      <c r="D11" s="651">
        <f>'1 Bilance'!J28</f>
        <v>28500000</v>
      </c>
    </row>
    <row r="12" spans="1:4" x14ac:dyDescent="0.25">
      <c r="A12" s="650"/>
      <c r="B12" s="650"/>
      <c r="C12" s="650"/>
      <c r="D12" s="652"/>
    </row>
    <row r="13" spans="1:4" ht="20.25" x14ac:dyDescent="0.25">
      <c r="A13" s="208" t="s">
        <v>88</v>
      </c>
      <c r="B13" s="653"/>
      <c r="C13" s="653"/>
      <c r="D13" s="189"/>
    </row>
    <row r="14" spans="1:4" ht="15.75" thickBot="1" x14ac:dyDescent="0.3">
      <c r="A14" s="653"/>
      <c r="B14" s="653"/>
      <c r="C14" s="653"/>
      <c r="D14" s="189"/>
    </row>
    <row r="15" spans="1:4" x14ac:dyDescent="0.25">
      <c r="A15" s="950" t="s">
        <v>2</v>
      </c>
      <c r="B15" s="952" t="s">
        <v>89</v>
      </c>
      <c r="C15" s="952" t="s">
        <v>238</v>
      </c>
      <c r="D15" s="940" t="s">
        <v>90</v>
      </c>
    </row>
    <row r="16" spans="1:4" ht="41.25" customHeight="1" thickBot="1" x14ac:dyDescent="0.3">
      <c r="A16" s="951"/>
      <c r="B16" s="953"/>
      <c r="C16" s="953"/>
      <c r="D16" s="941"/>
    </row>
    <row r="17" spans="1:4" x14ac:dyDescent="0.25">
      <c r="A17" s="212">
        <v>11000</v>
      </c>
      <c r="B17" s="213" t="s">
        <v>4</v>
      </c>
      <c r="C17" s="214">
        <v>24107</v>
      </c>
      <c r="D17" s="215">
        <f>C17*$D$9</f>
        <v>148258050</v>
      </c>
    </row>
    <row r="18" spans="1:4" x14ac:dyDescent="0.25">
      <c r="A18" s="216">
        <v>12000</v>
      </c>
      <c r="B18" s="217" t="s">
        <v>5</v>
      </c>
      <c r="C18" s="218">
        <v>4946</v>
      </c>
      <c r="D18" s="219">
        <f t="shared" ref="D18:D42" si="0">C18*$D$9</f>
        <v>30417900</v>
      </c>
    </row>
    <row r="19" spans="1:4" x14ac:dyDescent="0.25">
      <c r="A19" s="216">
        <v>13000</v>
      </c>
      <c r="B19" s="217" t="s">
        <v>6</v>
      </c>
      <c r="C19" s="218">
        <v>3719</v>
      </c>
      <c r="D19" s="219">
        <f t="shared" si="0"/>
        <v>22871850</v>
      </c>
    </row>
    <row r="20" spans="1:4" x14ac:dyDescent="0.25">
      <c r="A20" s="216">
        <v>14000</v>
      </c>
      <c r="B20" s="217" t="s">
        <v>7</v>
      </c>
      <c r="C20" s="218">
        <v>19599</v>
      </c>
      <c r="D20" s="219">
        <f t="shared" si="0"/>
        <v>120533850</v>
      </c>
    </row>
    <row r="21" spans="1:4" x14ac:dyDescent="0.25">
      <c r="A21" s="216">
        <v>15000</v>
      </c>
      <c r="B21" s="217" t="s">
        <v>8</v>
      </c>
      <c r="C21" s="218">
        <v>11272</v>
      </c>
      <c r="D21" s="219">
        <f t="shared" si="0"/>
        <v>69322800</v>
      </c>
    </row>
    <row r="22" spans="1:4" x14ac:dyDescent="0.25">
      <c r="A22" s="216">
        <v>16000</v>
      </c>
      <c r="B22" s="217" t="s">
        <v>193</v>
      </c>
      <c r="C22" s="218">
        <v>1620</v>
      </c>
      <c r="D22" s="219">
        <f t="shared" si="0"/>
        <v>9963000</v>
      </c>
    </row>
    <row r="23" spans="1:4" x14ac:dyDescent="0.25">
      <c r="A23" s="216">
        <v>17000</v>
      </c>
      <c r="B23" s="217" t="s">
        <v>9</v>
      </c>
      <c r="C23" s="218">
        <v>4670</v>
      </c>
      <c r="D23" s="219">
        <f t="shared" si="0"/>
        <v>28720500</v>
      </c>
    </row>
    <row r="24" spans="1:4" x14ac:dyDescent="0.25">
      <c r="A24" s="216">
        <v>18000</v>
      </c>
      <c r="B24" s="217" t="s">
        <v>10</v>
      </c>
      <c r="C24" s="218">
        <v>3160</v>
      </c>
      <c r="D24" s="219">
        <f t="shared" si="0"/>
        <v>19434000</v>
      </c>
    </row>
    <row r="25" spans="1:4" x14ac:dyDescent="0.25">
      <c r="A25" s="216">
        <v>19000</v>
      </c>
      <c r="B25" s="217" t="s">
        <v>11</v>
      </c>
      <c r="C25" s="218">
        <v>1354</v>
      </c>
      <c r="D25" s="219">
        <f t="shared" si="0"/>
        <v>8327100</v>
      </c>
    </row>
    <row r="26" spans="1:4" x14ac:dyDescent="0.25">
      <c r="A26" s="216">
        <v>21000</v>
      </c>
      <c r="B26" s="217" t="s">
        <v>12</v>
      </c>
      <c r="C26" s="218">
        <v>10669</v>
      </c>
      <c r="D26" s="219">
        <f t="shared" si="0"/>
        <v>65614350</v>
      </c>
    </row>
    <row r="27" spans="1:4" x14ac:dyDescent="0.25">
      <c r="A27" s="216">
        <v>22000</v>
      </c>
      <c r="B27" s="217" t="s">
        <v>13</v>
      </c>
      <c r="C27" s="218">
        <v>2533</v>
      </c>
      <c r="D27" s="219">
        <f t="shared" si="0"/>
        <v>15577950</v>
      </c>
    </row>
    <row r="28" spans="1:4" x14ac:dyDescent="0.25">
      <c r="A28" s="216">
        <v>23000</v>
      </c>
      <c r="B28" s="217" t="s">
        <v>14</v>
      </c>
      <c r="C28" s="218">
        <v>6983</v>
      </c>
      <c r="D28" s="219">
        <f t="shared" si="0"/>
        <v>42945450</v>
      </c>
    </row>
    <row r="29" spans="1:4" x14ac:dyDescent="0.25">
      <c r="A29" s="216">
        <v>24000</v>
      </c>
      <c r="B29" s="217" t="s">
        <v>15</v>
      </c>
      <c r="C29" s="218">
        <v>3075</v>
      </c>
      <c r="D29" s="219">
        <f t="shared" si="0"/>
        <v>18911250</v>
      </c>
    </row>
    <row r="30" spans="1:4" x14ac:dyDescent="0.25">
      <c r="A30" s="216">
        <v>25000</v>
      </c>
      <c r="B30" s="217" t="s">
        <v>16</v>
      </c>
      <c r="C30" s="218">
        <v>4269</v>
      </c>
      <c r="D30" s="219">
        <f t="shared" si="0"/>
        <v>26254350</v>
      </c>
    </row>
    <row r="31" spans="1:4" x14ac:dyDescent="0.25">
      <c r="A31" s="216">
        <v>26000</v>
      </c>
      <c r="B31" s="217" t="s">
        <v>17</v>
      </c>
      <c r="C31" s="218">
        <v>12719</v>
      </c>
      <c r="D31" s="219">
        <f t="shared" si="0"/>
        <v>78221850</v>
      </c>
    </row>
    <row r="32" spans="1:4" x14ac:dyDescent="0.25">
      <c r="A32" s="216">
        <v>27000</v>
      </c>
      <c r="B32" s="217" t="s">
        <v>18</v>
      </c>
      <c r="C32" s="218">
        <v>7051</v>
      </c>
      <c r="D32" s="219">
        <f t="shared" si="0"/>
        <v>43363650</v>
      </c>
    </row>
    <row r="33" spans="1:5" x14ac:dyDescent="0.25">
      <c r="A33" s="216">
        <v>28000</v>
      </c>
      <c r="B33" s="217" t="s">
        <v>19</v>
      </c>
      <c r="C33" s="218">
        <v>4400</v>
      </c>
      <c r="D33" s="219">
        <f t="shared" si="0"/>
        <v>27060000</v>
      </c>
    </row>
    <row r="34" spans="1:5" x14ac:dyDescent="0.25">
      <c r="A34" s="216">
        <v>31000</v>
      </c>
      <c r="B34" s="217" t="s">
        <v>20</v>
      </c>
      <c r="C34" s="218">
        <v>7447</v>
      </c>
      <c r="D34" s="219">
        <f t="shared" si="0"/>
        <v>45799050</v>
      </c>
    </row>
    <row r="35" spans="1:5" x14ac:dyDescent="0.25">
      <c r="A35" s="216">
        <v>41000</v>
      </c>
      <c r="B35" s="217" t="s">
        <v>21</v>
      </c>
      <c r="C35" s="218">
        <v>8696</v>
      </c>
      <c r="D35" s="219">
        <f t="shared" si="0"/>
        <v>53480400</v>
      </c>
    </row>
    <row r="36" spans="1:5" x14ac:dyDescent="0.25">
      <c r="A36" s="216">
        <v>43000</v>
      </c>
      <c r="B36" s="217" t="s">
        <v>22</v>
      </c>
      <c r="C36" s="218">
        <v>5493</v>
      </c>
      <c r="D36" s="219">
        <f t="shared" si="0"/>
        <v>33781950</v>
      </c>
    </row>
    <row r="37" spans="1:5" x14ac:dyDescent="0.25">
      <c r="A37" s="216">
        <v>51000</v>
      </c>
      <c r="B37" s="217" t="s">
        <v>23</v>
      </c>
      <c r="C37" s="218">
        <v>586</v>
      </c>
      <c r="D37" s="219">
        <f t="shared" si="0"/>
        <v>3603900</v>
      </c>
    </row>
    <row r="38" spans="1:5" x14ac:dyDescent="0.25">
      <c r="A38" s="216">
        <v>52000</v>
      </c>
      <c r="B38" s="217" t="s">
        <v>24</v>
      </c>
      <c r="C38" s="218">
        <v>179</v>
      </c>
      <c r="D38" s="219">
        <f t="shared" si="0"/>
        <v>1100850</v>
      </c>
    </row>
    <row r="39" spans="1:5" x14ac:dyDescent="0.25">
      <c r="A39" s="216">
        <v>53000</v>
      </c>
      <c r="B39" s="217" t="s">
        <v>25</v>
      </c>
      <c r="C39" s="218">
        <v>278</v>
      </c>
      <c r="D39" s="219">
        <f t="shared" si="0"/>
        <v>1709700</v>
      </c>
    </row>
    <row r="40" spans="1:5" x14ac:dyDescent="0.25">
      <c r="A40" s="216">
        <v>54000</v>
      </c>
      <c r="B40" s="217" t="s">
        <v>196</v>
      </c>
      <c r="C40" s="218">
        <v>446</v>
      </c>
      <c r="D40" s="219">
        <f t="shared" si="0"/>
        <v>2742900</v>
      </c>
    </row>
    <row r="41" spans="1:5" x14ac:dyDescent="0.25">
      <c r="A41" s="216">
        <v>55000</v>
      </c>
      <c r="B41" s="217" t="s">
        <v>26</v>
      </c>
      <c r="C41" s="218">
        <v>794</v>
      </c>
      <c r="D41" s="219">
        <f t="shared" si="0"/>
        <v>4883100</v>
      </c>
    </row>
    <row r="42" spans="1:5" ht="15.75" thickBot="1" x14ac:dyDescent="0.3">
      <c r="A42" s="220">
        <v>56000</v>
      </c>
      <c r="B42" s="221" t="s">
        <v>27</v>
      </c>
      <c r="C42" s="222">
        <v>1090</v>
      </c>
      <c r="D42" s="223">
        <f t="shared" si="0"/>
        <v>6703500</v>
      </c>
    </row>
    <row r="43" spans="1:5" ht="15.75" thickBot="1" x14ac:dyDescent="0.3">
      <c r="A43" s="942" t="s">
        <v>209</v>
      </c>
      <c r="B43" s="943"/>
      <c r="C43" s="224">
        <f>SUM(C17:C42)</f>
        <v>151155</v>
      </c>
      <c r="D43" s="225">
        <f>SUM(D17:D42)</f>
        <v>929603250</v>
      </c>
      <c r="E43" s="340"/>
    </row>
    <row r="45" spans="1:5" x14ac:dyDescent="0.25">
      <c r="A45" s="441" t="s">
        <v>187</v>
      </c>
    </row>
  </sheetData>
  <mergeCells count="10">
    <mergeCell ref="D15:D16"/>
    <mergeCell ref="A43:B43"/>
    <mergeCell ref="A7:C7"/>
    <mergeCell ref="A8:C8"/>
    <mergeCell ref="A9:C9"/>
    <mergeCell ref="A10:C10"/>
    <mergeCell ref="A11:C11"/>
    <mergeCell ref="A15:A16"/>
    <mergeCell ref="B15:B16"/>
    <mergeCell ref="C15:C16"/>
  </mergeCells>
  <hyperlinks>
    <hyperlink ref="A45" location="'0 Seznam'!A1" display="Seznam" xr:uid="{96D73B3C-0DE1-4EFC-BDCA-DCA4C332BDBA}"/>
  </hyperlinks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 xml:space="preserve">&amp;LČ. j.: MSMT-5003/2026-1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  <pageSetUpPr fitToPage="1"/>
  </sheetPr>
  <dimension ref="A1:H35"/>
  <sheetViews>
    <sheetView zoomScale="85" zoomScaleNormal="85" workbookViewId="0">
      <selection activeCell="A35" sqref="A35"/>
    </sheetView>
  </sheetViews>
  <sheetFormatPr defaultRowHeight="15" x14ac:dyDescent="0.25"/>
  <cols>
    <col min="1" max="1" width="11.140625" customWidth="1"/>
    <col min="2" max="2" width="60.7109375" customWidth="1"/>
    <col min="3" max="4" width="18.28515625" customWidth="1"/>
    <col min="5" max="5" width="9.85546875" customWidth="1"/>
    <col min="6" max="6" width="11.140625" customWidth="1"/>
    <col min="7" max="7" width="60.7109375" customWidth="1"/>
    <col min="8" max="9" width="18.28515625" customWidth="1"/>
  </cols>
  <sheetData>
    <row r="1" spans="1:8" ht="27.75" x14ac:dyDescent="0.25">
      <c r="A1" s="344" t="s">
        <v>129</v>
      </c>
      <c r="B1" s="345"/>
      <c r="C1" s="345"/>
    </row>
    <row r="2" spans="1:8" x14ac:dyDescent="0.25">
      <c r="A2" s="346"/>
      <c r="B2" s="345"/>
      <c r="C2" s="345"/>
    </row>
    <row r="3" spans="1:8" ht="20.25" x14ac:dyDescent="0.25">
      <c r="A3" s="347" t="s">
        <v>244</v>
      </c>
      <c r="B3" s="345"/>
      <c r="C3" s="348"/>
      <c r="F3" s="347" t="s">
        <v>245</v>
      </c>
    </row>
    <row r="4" spans="1:8" x14ac:dyDescent="0.25">
      <c r="A4" s="349"/>
      <c r="B4" s="345"/>
      <c r="C4" s="348"/>
    </row>
    <row r="5" spans="1:8" ht="15.75" thickBot="1" x14ac:dyDescent="0.3">
      <c r="A5" s="350"/>
      <c r="B5" s="350"/>
      <c r="C5" s="351" t="s">
        <v>0</v>
      </c>
    </row>
    <row r="6" spans="1:8" ht="45.75" thickBot="1" x14ac:dyDescent="0.3">
      <c r="A6" s="352" t="s">
        <v>2</v>
      </c>
      <c r="B6" s="353" t="s">
        <v>3</v>
      </c>
      <c r="C6" s="490" t="s">
        <v>29</v>
      </c>
      <c r="D6" s="353" t="s">
        <v>194</v>
      </c>
      <c r="F6" s="352" t="s">
        <v>2</v>
      </c>
      <c r="G6" s="353" t="s">
        <v>3</v>
      </c>
      <c r="H6" s="717" t="s">
        <v>194</v>
      </c>
    </row>
    <row r="7" spans="1:8" x14ac:dyDescent="0.25">
      <c r="A7" s="354">
        <v>11000</v>
      </c>
      <c r="B7" s="355" t="s">
        <v>4</v>
      </c>
      <c r="C7" s="491">
        <v>0.17392107168458781</v>
      </c>
      <c r="D7" s="485">
        <v>242619895</v>
      </c>
      <c r="F7" s="354">
        <v>11000</v>
      </c>
      <c r="G7" s="355" t="s">
        <v>4</v>
      </c>
      <c r="H7" s="718">
        <v>1229547</v>
      </c>
    </row>
    <row r="8" spans="1:8" x14ac:dyDescent="0.25">
      <c r="A8" s="356">
        <v>12000</v>
      </c>
      <c r="B8" s="355" t="s">
        <v>5</v>
      </c>
      <c r="C8" s="491">
        <v>3.0914874265526224E-2</v>
      </c>
      <c r="D8" s="485">
        <v>43126249.600409083</v>
      </c>
      <c r="F8" s="356">
        <v>12000</v>
      </c>
      <c r="G8" s="355" t="s">
        <v>5</v>
      </c>
      <c r="H8" s="718">
        <v>364771</v>
      </c>
    </row>
    <row r="9" spans="1:8" x14ac:dyDescent="0.25">
      <c r="A9" s="356">
        <v>13000</v>
      </c>
      <c r="B9" s="355" t="s">
        <v>6</v>
      </c>
      <c r="C9" s="491">
        <v>2.2852967291816073E-2</v>
      </c>
      <c r="D9" s="485">
        <v>31879889.372083422</v>
      </c>
      <c r="F9" s="356">
        <v>13000</v>
      </c>
      <c r="G9" s="355" t="s">
        <v>6</v>
      </c>
      <c r="H9" s="718">
        <v>263459</v>
      </c>
    </row>
    <row r="10" spans="1:8" x14ac:dyDescent="0.25">
      <c r="A10" s="356">
        <v>14000</v>
      </c>
      <c r="B10" s="355" t="s">
        <v>7</v>
      </c>
      <c r="C10" s="491">
        <v>0.11618857921146954</v>
      </c>
      <c r="D10" s="485">
        <v>162083068</v>
      </c>
      <c r="E10" s="11"/>
      <c r="F10" s="356">
        <v>14000</v>
      </c>
      <c r="G10" s="355" t="s">
        <v>7</v>
      </c>
      <c r="H10" s="718">
        <v>1539531</v>
      </c>
    </row>
    <row r="11" spans="1:8" x14ac:dyDescent="0.25">
      <c r="A11" s="356">
        <v>15000</v>
      </c>
      <c r="B11" s="355" t="s">
        <v>8</v>
      </c>
      <c r="C11" s="491">
        <v>6.6095378655044945E-2</v>
      </c>
      <c r="D11" s="485">
        <v>92203053.223787695</v>
      </c>
      <c r="F11" s="356">
        <v>15000</v>
      </c>
      <c r="G11" s="355" t="s">
        <v>8</v>
      </c>
      <c r="H11" s="718">
        <v>763273</v>
      </c>
    </row>
    <row r="12" spans="1:8" x14ac:dyDescent="0.25">
      <c r="A12" s="356">
        <v>16000</v>
      </c>
      <c r="B12" s="355" t="s">
        <v>193</v>
      </c>
      <c r="C12" s="491">
        <v>1.2416229519856754E-2</v>
      </c>
      <c r="D12" s="485">
        <v>17320640.180200171</v>
      </c>
      <c r="F12" s="356">
        <v>16000</v>
      </c>
      <c r="G12" s="355" t="s">
        <v>193</v>
      </c>
      <c r="H12" s="718">
        <v>0</v>
      </c>
    </row>
    <row r="13" spans="1:8" x14ac:dyDescent="0.25">
      <c r="A13" s="356">
        <v>17000</v>
      </c>
      <c r="B13" s="355" t="s">
        <v>9</v>
      </c>
      <c r="C13" s="491">
        <v>2.8032911840761204E-2</v>
      </c>
      <c r="D13" s="485">
        <v>39105912.01786188</v>
      </c>
      <c r="F13" s="356">
        <v>17000</v>
      </c>
      <c r="G13" s="355" t="s">
        <v>9</v>
      </c>
      <c r="H13" s="718">
        <v>689064</v>
      </c>
    </row>
    <row r="14" spans="1:8" x14ac:dyDescent="0.25">
      <c r="A14" s="356">
        <v>18000</v>
      </c>
      <c r="B14" s="355" t="s">
        <v>10</v>
      </c>
      <c r="C14" s="491">
        <v>1.7737240272544925E-2</v>
      </c>
      <c r="D14" s="485">
        <v>24743450.180200171</v>
      </c>
      <c r="F14" s="356">
        <v>18000</v>
      </c>
      <c r="G14" s="355" t="s">
        <v>10</v>
      </c>
      <c r="H14" s="718">
        <v>214780</v>
      </c>
    </row>
    <row r="15" spans="1:8" x14ac:dyDescent="0.25">
      <c r="A15" s="356">
        <v>19000</v>
      </c>
      <c r="B15" s="355" t="s">
        <v>11</v>
      </c>
      <c r="C15" s="491">
        <v>1.4950483283297613E-2</v>
      </c>
      <c r="D15" s="485">
        <v>20855924.180200171</v>
      </c>
      <c r="F15" s="356">
        <v>19000</v>
      </c>
      <c r="G15" s="355" t="s">
        <v>11</v>
      </c>
      <c r="H15" s="718">
        <v>201731</v>
      </c>
    </row>
    <row r="16" spans="1:8" x14ac:dyDescent="0.25">
      <c r="A16" s="356">
        <v>21000</v>
      </c>
      <c r="B16" s="355" t="s">
        <v>12</v>
      </c>
      <c r="C16" s="492">
        <v>8.4409514866326599E-2</v>
      </c>
      <c r="D16" s="486">
        <v>117751273.2385256</v>
      </c>
      <c r="F16" s="356">
        <v>21000</v>
      </c>
      <c r="G16" s="355" t="s">
        <v>12</v>
      </c>
      <c r="H16" s="719">
        <v>0</v>
      </c>
    </row>
    <row r="17" spans="1:8" x14ac:dyDescent="0.25">
      <c r="A17" s="356">
        <v>22000</v>
      </c>
      <c r="B17" s="355" t="s">
        <v>13</v>
      </c>
      <c r="C17" s="491">
        <v>2.4865094035985781E-2</v>
      </c>
      <c r="D17" s="485">
        <v>34686806.180200167</v>
      </c>
      <c r="F17" s="356">
        <v>22000</v>
      </c>
      <c r="G17" s="355" t="s">
        <v>13</v>
      </c>
      <c r="H17" s="718">
        <v>170264</v>
      </c>
    </row>
    <row r="18" spans="1:8" x14ac:dyDescent="0.25">
      <c r="A18" s="356">
        <v>23000</v>
      </c>
      <c r="B18" s="355" t="s">
        <v>14</v>
      </c>
      <c r="C18" s="491">
        <v>3.7390810906219395E-2</v>
      </c>
      <c r="D18" s="485">
        <v>52160181.214176059</v>
      </c>
      <c r="F18" s="356">
        <v>23000</v>
      </c>
      <c r="G18" s="355" t="s">
        <v>14</v>
      </c>
      <c r="H18" s="718">
        <v>797872</v>
      </c>
    </row>
    <row r="19" spans="1:8" x14ac:dyDescent="0.25">
      <c r="A19" s="356">
        <v>24000</v>
      </c>
      <c r="B19" s="355" t="s">
        <v>15</v>
      </c>
      <c r="C19" s="491">
        <v>2.1269573330398896E-2</v>
      </c>
      <c r="D19" s="485">
        <v>29671054.795906462</v>
      </c>
      <c r="F19" s="356">
        <v>24000</v>
      </c>
      <c r="G19" s="355" t="s">
        <v>15</v>
      </c>
      <c r="H19" s="718">
        <v>212453</v>
      </c>
    </row>
    <row r="20" spans="1:8" x14ac:dyDescent="0.25">
      <c r="A20" s="356">
        <v>25000</v>
      </c>
      <c r="B20" s="355" t="s">
        <v>16</v>
      </c>
      <c r="C20" s="491">
        <v>2.5271606967420354E-2</v>
      </c>
      <c r="D20" s="485">
        <v>35253891.719551392</v>
      </c>
      <c r="F20" s="356">
        <v>25000</v>
      </c>
      <c r="G20" s="355" t="s">
        <v>16</v>
      </c>
      <c r="H20" s="718">
        <v>451481</v>
      </c>
    </row>
    <row r="21" spans="1:8" x14ac:dyDescent="0.25">
      <c r="A21" s="356">
        <v>26000</v>
      </c>
      <c r="B21" s="355" t="s">
        <v>17</v>
      </c>
      <c r="C21" s="491">
        <v>6.6952809718651321E-2</v>
      </c>
      <c r="D21" s="485">
        <v>93399169.557518601</v>
      </c>
      <c r="F21" s="356">
        <v>26000</v>
      </c>
      <c r="G21" s="355" t="s">
        <v>17</v>
      </c>
      <c r="H21" s="718">
        <v>424983</v>
      </c>
    </row>
    <row r="22" spans="1:8" x14ac:dyDescent="0.25">
      <c r="A22" s="356">
        <v>27000</v>
      </c>
      <c r="B22" s="355" t="s">
        <v>18</v>
      </c>
      <c r="C22" s="491">
        <v>4.5140178556024577E-2</v>
      </c>
      <c r="D22" s="485">
        <v>62970549.085654289</v>
      </c>
      <c r="F22" s="356">
        <v>27000</v>
      </c>
      <c r="G22" s="355" t="s">
        <v>18</v>
      </c>
      <c r="H22" s="718">
        <v>325239</v>
      </c>
    </row>
    <row r="23" spans="1:8" x14ac:dyDescent="0.25">
      <c r="A23" s="356">
        <v>28000</v>
      </c>
      <c r="B23" s="355" t="s">
        <v>19</v>
      </c>
      <c r="C23" s="491">
        <v>2.9505399292705327E-2</v>
      </c>
      <c r="D23" s="485">
        <v>41160032.013323933</v>
      </c>
      <c r="F23" s="356">
        <v>28000</v>
      </c>
      <c r="G23" s="355" t="s">
        <v>19</v>
      </c>
      <c r="H23" s="718">
        <v>263073</v>
      </c>
    </row>
    <row r="24" spans="1:8" x14ac:dyDescent="0.25">
      <c r="A24" s="356">
        <v>31000</v>
      </c>
      <c r="B24" s="355" t="s">
        <v>20</v>
      </c>
      <c r="C24" s="491">
        <v>3.6297851331147012E-2</v>
      </c>
      <c r="D24" s="485">
        <v>50635502.606950082</v>
      </c>
      <c r="F24" s="356">
        <v>31000</v>
      </c>
      <c r="G24" s="355" t="s">
        <v>20</v>
      </c>
      <c r="H24" s="718">
        <v>346088</v>
      </c>
    </row>
    <row r="25" spans="1:8" x14ac:dyDescent="0.25">
      <c r="A25" s="356">
        <v>41000</v>
      </c>
      <c r="B25" s="355" t="s">
        <v>21</v>
      </c>
      <c r="C25" s="491">
        <v>5.0974953580050081E-2</v>
      </c>
      <c r="D25" s="485">
        <v>71110060.244169861</v>
      </c>
      <c r="F25" s="356">
        <v>41000</v>
      </c>
      <c r="G25" s="355" t="s">
        <v>21</v>
      </c>
      <c r="H25" s="718">
        <v>476333</v>
      </c>
    </row>
    <row r="26" spans="1:8" x14ac:dyDescent="0.25">
      <c r="A26" s="356">
        <v>43000</v>
      </c>
      <c r="B26" s="355" t="s">
        <v>22</v>
      </c>
      <c r="C26" s="491">
        <v>2.9666260579268796E-2</v>
      </c>
      <c r="D26" s="485">
        <v>41384433.508079968</v>
      </c>
      <c r="F26" s="356">
        <v>43000</v>
      </c>
      <c r="G26" s="355" t="s">
        <v>22</v>
      </c>
      <c r="H26" s="718">
        <v>448214</v>
      </c>
    </row>
    <row r="27" spans="1:8" x14ac:dyDescent="0.25">
      <c r="A27" s="356">
        <v>51000</v>
      </c>
      <c r="B27" s="357" t="s">
        <v>23</v>
      </c>
      <c r="C27" s="492">
        <v>1.9571899770752809E-2</v>
      </c>
      <c r="D27" s="486">
        <v>27302800.180200171</v>
      </c>
      <c r="F27" s="356">
        <v>51000</v>
      </c>
      <c r="G27" s="357" t="s">
        <v>23</v>
      </c>
      <c r="H27" s="719">
        <v>134786</v>
      </c>
    </row>
    <row r="28" spans="1:8" x14ac:dyDescent="0.25">
      <c r="A28" s="356">
        <v>52000</v>
      </c>
      <c r="B28" s="357" t="s">
        <v>24</v>
      </c>
      <c r="C28" s="492">
        <v>7.1264166166309468E-3</v>
      </c>
      <c r="D28" s="486">
        <v>9941351.1802001707</v>
      </c>
      <c r="F28" s="356">
        <v>52000</v>
      </c>
      <c r="G28" s="357" t="s">
        <v>24</v>
      </c>
      <c r="H28" s="719">
        <v>166227</v>
      </c>
    </row>
    <row r="29" spans="1:8" x14ac:dyDescent="0.25">
      <c r="A29" s="356">
        <v>53000</v>
      </c>
      <c r="B29" s="357" t="s">
        <v>25</v>
      </c>
      <c r="C29" s="492">
        <v>9.6266918854481503E-3</v>
      </c>
      <c r="D29" s="486">
        <v>13429235.180200171</v>
      </c>
      <c r="F29" s="356">
        <v>53000</v>
      </c>
      <c r="G29" s="357" t="s">
        <v>25</v>
      </c>
      <c r="H29" s="719">
        <v>108868</v>
      </c>
    </row>
    <row r="30" spans="1:8" x14ac:dyDescent="0.25">
      <c r="A30" s="356">
        <v>54000</v>
      </c>
      <c r="B30" s="357" t="s">
        <v>196</v>
      </c>
      <c r="C30" s="492">
        <v>1.1826286150681126E-2</v>
      </c>
      <c r="D30" s="486">
        <v>16497669.180200171</v>
      </c>
      <c r="F30" s="356">
        <v>54000</v>
      </c>
      <c r="G30" s="357" t="s">
        <v>196</v>
      </c>
      <c r="H30" s="719">
        <v>113182</v>
      </c>
    </row>
    <row r="31" spans="1:8" x14ac:dyDescent="0.25">
      <c r="A31" s="356">
        <v>55000</v>
      </c>
      <c r="B31" s="357" t="s">
        <v>26</v>
      </c>
      <c r="C31" s="492">
        <v>7.6652080144804088E-3</v>
      </c>
      <c r="D31" s="486">
        <v>10692965.180200171</v>
      </c>
      <c r="F31" s="356">
        <v>55000</v>
      </c>
      <c r="G31" s="357" t="s">
        <v>26</v>
      </c>
      <c r="H31" s="719">
        <v>141210</v>
      </c>
    </row>
    <row r="32" spans="1:8" ht="15.75" thickBot="1" x14ac:dyDescent="0.3">
      <c r="A32" s="358">
        <v>56000</v>
      </c>
      <c r="B32" s="319" t="s">
        <v>27</v>
      </c>
      <c r="C32" s="493">
        <v>9.3297083729033479E-3</v>
      </c>
      <c r="D32" s="487">
        <v>13014943.180200171</v>
      </c>
      <c r="F32" s="358">
        <v>56000</v>
      </c>
      <c r="G32" s="319" t="s">
        <v>27</v>
      </c>
      <c r="H32" s="720">
        <v>152842</v>
      </c>
    </row>
    <row r="33" spans="1:8" ht="15.75" thickBot="1" x14ac:dyDescent="0.3">
      <c r="A33" s="954" t="s">
        <v>28</v>
      </c>
      <c r="B33" s="955"/>
      <c r="C33" s="494">
        <f>SUM(C7:C32)</f>
        <v>1.0000000000000002</v>
      </c>
      <c r="D33" s="488">
        <f>SUM(D7:D32)</f>
        <v>1395000000</v>
      </c>
      <c r="F33" s="954" t="s">
        <v>28</v>
      </c>
      <c r="G33" s="955"/>
      <c r="H33" s="721">
        <f>SUM(H7:H32)</f>
        <v>9999271</v>
      </c>
    </row>
    <row r="35" spans="1:8" x14ac:dyDescent="0.25">
      <c r="A35" s="441" t="s">
        <v>187</v>
      </c>
    </row>
  </sheetData>
  <mergeCells count="2">
    <mergeCell ref="A33:B33"/>
    <mergeCell ref="F33:G33"/>
  </mergeCells>
  <hyperlinks>
    <hyperlink ref="A35" location="'0 Seznam'!A1" display="Seznam" xr:uid="{94FCE854-8B5C-4802-843A-57FBC76FF195}"/>
  </hyperlinks>
  <pageMargins left="0.25" right="0.25" top="0.75" bottom="0.75" header="0.3" footer="0.3"/>
  <pageSetup paperSize="9" scale="62" orientation="landscape" r:id="rId1"/>
  <headerFooter>
    <oddHeader xml:space="preserve">&amp;LČ. j.: MSMT-5003/2026-1
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</sheetPr>
  <dimension ref="A1:L31"/>
  <sheetViews>
    <sheetView zoomScale="85" zoomScaleNormal="85" workbookViewId="0">
      <selection sqref="A1:D1"/>
    </sheetView>
  </sheetViews>
  <sheetFormatPr defaultRowHeight="15" x14ac:dyDescent="0.25"/>
  <cols>
    <col min="1" max="1" width="10.140625" customWidth="1"/>
    <col min="2" max="2" width="50.85546875" bestFit="1" customWidth="1"/>
    <col min="3" max="3" width="15.42578125" customWidth="1"/>
    <col min="4" max="4" width="45.28515625" bestFit="1" customWidth="1"/>
    <col min="5" max="10" width="18.7109375" customWidth="1"/>
    <col min="11" max="13" width="18.140625" customWidth="1"/>
    <col min="15" max="15" width="16.42578125" bestFit="1" customWidth="1"/>
  </cols>
  <sheetData>
    <row r="1" spans="1:12" ht="27.75" customHeight="1" x14ac:dyDescent="0.25">
      <c r="A1" s="956" t="s">
        <v>239</v>
      </c>
      <c r="B1" s="956"/>
      <c r="C1" s="956"/>
      <c r="D1" s="956"/>
    </row>
    <row r="2" spans="1:12" ht="15.75" customHeight="1" x14ac:dyDescent="0.25"/>
    <row r="3" spans="1:12" x14ac:dyDescent="0.25">
      <c r="B3" s="400" t="s">
        <v>153</v>
      </c>
      <c r="C3" s="400" t="s">
        <v>154</v>
      </c>
    </row>
    <row r="4" spans="1:12" x14ac:dyDescent="0.25">
      <c r="B4" s="395" t="s">
        <v>95</v>
      </c>
      <c r="C4" s="401">
        <v>0.75</v>
      </c>
    </row>
    <row r="5" spans="1:12" x14ac:dyDescent="0.25">
      <c r="B5" s="395" t="s">
        <v>155</v>
      </c>
      <c r="C5" s="401">
        <v>0.1</v>
      </c>
    </row>
    <row r="6" spans="1:12" x14ac:dyDescent="0.25">
      <c r="B6" s="395" t="s">
        <v>156</v>
      </c>
      <c r="C6" s="401">
        <v>0.1</v>
      </c>
    </row>
    <row r="7" spans="1:12" x14ac:dyDescent="0.25">
      <c r="B7" s="395" t="s">
        <v>157</v>
      </c>
      <c r="C7" s="401">
        <v>0.05</v>
      </c>
    </row>
    <row r="9" spans="1:12" x14ac:dyDescent="0.25">
      <c r="B9" s="36" t="s">
        <v>240</v>
      </c>
      <c r="C9" s="363">
        <f>'1 Bilance'!J49</f>
        <v>200000000</v>
      </c>
    </row>
    <row r="11" spans="1:12" ht="15.75" thickBot="1" x14ac:dyDescent="0.3"/>
    <row r="12" spans="1:12" ht="45.75" thickBot="1" x14ac:dyDescent="0.3">
      <c r="A12" s="402" t="s">
        <v>2</v>
      </c>
      <c r="B12" s="403" t="s">
        <v>158</v>
      </c>
      <c r="C12" s="403" t="s">
        <v>130</v>
      </c>
      <c r="D12" s="404" t="s">
        <v>159</v>
      </c>
      <c r="E12" s="405" t="s">
        <v>95</v>
      </c>
      <c r="F12" s="406" t="s">
        <v>155</v>
      </c>
      <c r="G12" s="406" t="s">
        <v>156</v>
      </c>
      <c r="H12" s="407" t="s">
        <v>157</v>
      </c>
      <c r="I12" s="405" t="s">
        <v>160</v>
      </c>
      <c r="J12" s="408" t="s">
        <v>107</v>
      </c>
    </row>
    <row r="13" spans="1:12" x14ac:dyDescent="0.25">
      <c r="A13" s="359" t="s">
        <v>161</v>
      </c>
      <c r="B13" s="456" t="s">
        <v>6</v>
      </c>
      <c r="C13" s="409">
        <v>13530</v>
      </c>
      <c r="D13" s="460" t="s">
        <v>162</v>
      </c>
      <c r="E13" s="444">
        <v>6.0970591837923915E-2</v>
      </c>
      <c r="F13" s="445">
        <v>4.7178188394411527E-2</v>
      </c>
      <c r="G13" s="445">
        <v>6.9586252563226259E-2</v>
      </c>
      <c r="H13" s="393">
        <v>5.9459292449556944E-2</v>
      </c>
      <c r="I13" s="446">
        <f>$C$4*E13+$C$5*F13+$C$6*G13+$C$7*H13</f>
        <v>6.0377352596684565E-2</v>
      </c>
      <c r="J13" s="394">
        <f>ROUND(I13*$C$9,0)</f>
        <v>12075471</v>
      </c>
      <c r="K13" s="608"/>
      <c r="L13" s="11"/>
    </row>
    <row r="14" spans="1:12" x14ac:dyDescent="0.25">
      <c r="A14" s="360" t="s">
        <v>163</v>
      </c>
      <c r="B14" s="457" t="s">
        <v>9</v>
      </c>
      <c r="C14" s="395">
        <v>17500</v>
      </c>
      <c r="D14" s="461" t="s">
        <v>164</v>
      </c>
      <c r="E14" s="447">
        <v>4.3489667195813826E-2</v>
      </c>
      <c r="F14" s="448">
        <v>5.3369483022952247E-2</v>
      </c>
      <c r="G14" s="448">
        <v>3.5046778879015722E-2</v>
      </c>
      <c r="H14" s="361">
        <v>4.8683255883665927E-2</v>
      </c>
      <c r="I14" s="447">
        <f t="shared" ref="I14:I28" si="0">$C$4*E14+$C$5*F14+$C$6*G14+$C$7*H14</f>
        <v>4.3893039381240465E-2</v>
      </c>
      <c r="J14" s="322">
        <f t="shared" ref="J14:J27" si="1">ROUND(I14*$C$9,0)</f>
        <v>8778608</v>
      </c>
      <c r="K14" s="608"/>
      <c r="L14" s="11"/>
    </row>
    <row r="15" spans="1:12" ht="15" customHeight="1" x14ac:dyDescent="0.25">
      <c r="A15" s="360" t="s">
        <v>165</v>
      </c>
      <c r="B15" s="457" t="s">
        <v>12</v>
      </c>
      <c r="C15" s="395">
        <v>21450</v>
      </c>
      <c r="D15" s="461" t="s">
        <v>166</v>
      </c>
      <c r="E15" s="447">
        <v>9.158564574987367E-2</v>
      </c>
      <c r="F15" s="448">
        <v>8.9824397607553563E-2</v>
      </c>
      <c r="G15" s="448">
        <v>0.12352721291866028</v>
      </c>
      <c r="H15" s="361">
        <v>3.0789429393122767E-2</v>
      </c>
      <c r="I15" s="447">
        <f t="shared" si="0"/>
        <v>9.1563866834682775E-2</v>
      </c>
      <c r="J15" s="322">
        <f>ROUND(I15*$C$9,0)</f>
        <v>18312773</v>
      </c>
      <c r="K15" s="608"/>
      <c r="L15" s="11"/>
    </row>
    <row r="16" spans="1:12" ht="15" customHeight="1" x14ac:dyDescent="0.25">
      <c r="A16" s="360" t="s">
        <v>167</v>
      </c>
      <c r="B16" s="457" t="s">
        <v>14</v>
      </c>
      <c r="C16" s="395">
        <v>23410</v>
      </c>
      <c r="D16" s="461" t="s">
        <v>168</v>
      </c>
      <c r="E16" s="447">
        <v>7.982794016999771E-2</v>
      </c>
      <c r="F16" s="448">
        <v>4.7462992277064527E-2</v>
      </c>
      <c r="G16" s="448">
        <v>5.263157894736842E-3</v>
      </c>
      <c r="H16" s="361">
        <v>2.8450769253190979E-2</v>
      </c>
      <c r="I16" s="447">
        <f t="shared" si="0"/>
        <v>6.656610860733797E-2</v>
      </c>
      <c r="J16" s="322">
        <f>ROUND(I16*$C$9,0)</f>
        <v>13313222</v>
      </c>
      <c r="K16" s="608"/>
      <c r="L16" s="11"/>
    </row>
    <row r="17" spans="1:12" ht="15" customHeight="1" x14ac:dyDescent="0.25">
      <c r="A17" s="360" t="s">
        <v>169</v>
      </c>
      <c r="B17" s="457" t="s">
        <v>15</v>
      </c>
      <c r="C17" s="395">
        <v>24520</v>
      </c>
      <c r="D17" s="461" t="s">
        <v>170</v>
      </c>
      <c r="E17" s="447">
        <v>9.5379352418526187E-3</v>
      </c>
      <c r="F17" s="448">
        <v>1.6257658355917342E-2</v>
      </c>
      <c r="G17" s="448">
        <v>3.7712534176349968E-2</v>
      </c>
      <c r="H17" s="361">
        <v>4.4027001058179499E-2</v>
      </c>
      <c r="I17" s="447">
        <f t="shared" si="0"/>
        <v>1.475182073752517E-2</v>
      </c>
      <c r="J17" s="322">
        <f t="shared" si="1"/>
        <v>2950364</v>
      </c>
      <c r="K17" s="608"/>
      <c r="L17" s="11"/>
    </row>
    <row r="18" spans="1:12" ht="15" customHeight="1" x14ac:dyDescent="0.25">
      <c r="A18" s="360" t="s">
        <v>171</v>
      </c>
      <c r="B18" s="457" t="s">
        <v>16</v>
      </c>
      <c r="C18" s="395">
        <v>25110</v>
      </c>
      <c r="D18" s="461" t="s">
        <v>172</v>
      </c>
      <c r="E18" s="447">
        <v>5.1610130236687249E-3</v>
      </c>
      <c r="F18" s="448">
        <v>6.1958849417495104E-3</v>
      </c>
      <c r="G18" s="448">
        <v>0</v>
      </c>
      <c r="H18" s="361">
        <v>7.8109198206157054E-2</v>
      </c>
      <c r="I18" s="447">
        <f t="shared" si="0"/>
        <v>8.3958081722343477E-3</v>
      </c>
      <c r="J18" s="322">
        <f t="shared" si="1"/>
        <v>1679162</v>
      </c>
      <c r="K18" s="608"/>
      <c r="L18" s="11"/>
    </row>
    <row r="19" spans="1:12" ht="15" customHeight="1" x14ac:dyDescent="0.25">
      <c r="A19" s="360" t="s">
        <v>173</v>
      </c>
      <c r="B19" s="457" t="s">
        <v>17</v>
      </c>
      <c r="C19" s="395">
        <v>26410</v>
      </c>
      <c r="D19" s="461" t="s">
        <v>166</v>
      </c>
      <c r="E19" s="447">
        <v>2.4119014273112683E-2</v>
      </c>
      <c r="F19" s="448">
        <v>3.6934094361728752E-2</v>
      </c>
      <c r="G19" s="448">
        <v>3.0359278879015725E-2</v>
      </c>
      <c r="H19" s="361">
        <v>3.0723650917052849E-2</v>
      </c>
      <c r="I19" s="447">
        <f t="shared" si="0"/>
        <v>2.6354780574761604E-2</v>
      </c>
      <c r="J19" s="322">
        <f t="shared" si="1"/>
        <v>5270956</v>
      </c>
      <c r="K19" s="608"/>
      <c r="L19" s="11"/>
    </row>
    <row r="20" spans="1:12" ht="15" customHeight="1" x14ac:dyDescent="0.25">
      <c r="A20" s="360" t="s">
        <v>173</v>
      </c>
      <c r="B20" s="457" t="s">
        <v>17</v>
      </c>
      <c r="C20" s="395">
        <v>26420</v>
      </c>
      <c r="D20" s="461" t="s">
        <v>174</v>
      </c>
      <c r="E20" s="447">
        <v>0.10746170756912261</v>
      </c>
      <c r="F20" s="448">
        <v>4.431149027688501E-2</v>
      </c>
      <c r="G20" s="448">
        <v>6.5269352358168151E-2</v>
      </c>
      <c r="H20" s="361">
        <v>5.8369916481261455E-2</v>
      </c>
      <c r="I20" s="447">
        <f t="shared" si="0"/>
        <v>9.4472860764410346E-2</v>
      </c>
      <c r="J20" s="322">
        <f t="shared" si="1"/>
        <v>18894572</v>
      </c>
      <c r="K20" s="608"/>
      <c r="L20" s="11"/>
    </row>
    <row r="21" spans="1:12" ht="15" customHeight="1" x14ac:dyDescent="0.25">
      <c r="A21" s="360" t="s">
        <v>175</v>
      </c>
      <c r="B21" s="457" t="s">
        <v>19</v>
      </c>
      <c r="C21" s="395">
        <v>28130</v>
      </c>
      <c r="D21" s="461" t="s">
        <v>176</v>
      </c>
      <c r="E21" s="447">
        <v>6.0186863265386775E-2</v>
      </c>
      <c r="F21" s="448">
        <v>5.2482225749883663E-2</v>
      </c>
      <c r="G21" s="448">
        <v>9.1311731032125781E-2</v>
      </c>
      <c r="H21" s="361">
        <v>2.5661501358966013E-2</v>
      </c>
      <c r="I21" s="447">
        <f t="shared" si="0"/>
        <v>6.0802618195189326E-2</v>
      </c>
      <c r="J21" s="322">
        <f t="shared" si="1"/>
        <v>12160524</v>
      </c>
      <c r="K21" s="608"/>
      <c r="L21" s="11"/>
    </row>
    <row r="22" spans="1:12" ht="15" customHeight="1" x14ac:dyDescent="0.25">
      <c r="A22" s="360" t="s">
        <v>177</v>
      </c>
      <c r="B22" s="457" t="s">
        <v>23</v>
      </c>
      <c r="C22" s="395">
        <v>51110</v>
      </c>
      <c r="D22" s="461" t="s">
        <v>178</v>
      </c>
      <c r="E22" s="447">
        <v>0.12746362316630336</v>
      </c>
      <c r="F22" s="448">
        <v>0.14537351952992061</v>
      </c>
      <c r="G22" s="448">
        <v>0.11033514183185236</v>
      </c>
      <c r="H22" s="361">
        <v>9.1152018860349654E-2</v>
      </c>
      <c r="I22" s="447">
        <f t="shared" si="0"/>
        <v>0.12572618445392231</v>
      </c>
      <c r="J22" s="322">
        <f t="shared" si="1"/>
        <v>25145237</v>
      </c>
      <c r="K22" s="608"/>
      <c r="L22" s="11"/>
    </row>
    <row r="23" spans="1:12" ht="15" customHeight="1" x14ac:dyDescent="0.25">
      <c r="A23" s="360" t="s">
        <v>177</v>
      </c>
      <c r="B23" s="457" t="s">
        <v>23</v>
      </c>
      <c r="C23" s="395">
        <v>51210</v>
      </c>
      <c r="D23" s="461" t="s">
        <v>179</v>
      </c>
      <c r="E23" s="447">
        <v>4.6099172847215091E-2</v>
      </c>
      <c r="F23" s="448">
        <v>8.6915249033660769E-2</v>
      </c>
      <c r="G23" s="448">
        <v>9.5909518113465486E-2</v>
      </c>
      <c r="H23" s="361">
        <v>8.3420886375113898E-2</v>
      </c>
      <c r="I23" s="447">
        <f t="shared" si="0"/>
        <v>5.7027900668879632E-2</v>
      </c>
      <c r="J23" s="322">
        <f t="shared" si="1"/>
        <v>11405580</v>
      </c>
      <c r="K23" s="608"/>
      <c r="L23" s="11"/>
    </row>
    <row r="24" spans="1:12" ht="15" customHeight="1" x14ac:dyDescent="0.25">
      <c r="A24" s="360" t="s">
        <v>177</v>
      </c>
      <c r="B24" s="457" t="s">
        <v>23</v>
      </c>
      <c r="C24" s="395">
        <v>51310</v>
      </c>
      <c r="D24" s="461" t="s">
        <v>180</v>
      </c>
      <c r="E24" s="447">
        <v>5.8276494541361364E-2</v>
      </c>
      <c r="F24" s="448">
        <v>8.0701729141152923E-2</v>
      </c>
      <c r="G24" s="448">
        <v>3.6198094668489403E-2</v>
      </c>
      <c r="H24" s="361">
        <v>7.8707211738127961E-2</v>
      </c>
      <c r="I24" s="447">
        <f t="shared" si="0"/>
        <v>5.9332713873891656E-2</v>
      </c>
      <c r="J24" s="322">
        <f t="shared" si="1"/>
        <v>11866543</v>
      </c>
      <c r="K24" s="608"/>
      <c r="L24" s="11"/>
    </row>
    <row r="25" spans="1:12" ht="15" customHeight="1" x14ac:dyDescent="0.25">
      <c r="A25" s="360" t="s">
        <v>181</v>
      </c>
      <c r="B25" s="457" t="s">
        <v>24</v>
      </c>
      <c r="C25" s="395">
        <v>52900</v>
      </c>
      <c r="D25" s="461" t="s">
        <v>182</v>
      </c>
      <c r="E25" s="447">
        <v>7.4542353185243493E-2</v>
      </c>
      <c r="F25" s="448">
        <v>4.2709326044274083E-2</v>
      </c>
      <c r="G25" s="448">
        <v>5.9204118250170877E-2</v>
      </c>
      <c r="H25" s="361">
        <v>8.0239450309536053E-2</v>
      </c>
      <c r="I25" s="447">
        <f t="shared" si="0"/>
        <v>7.0110081833853921E-2</v>
      </c>
      <c r="J25" s="322">
        <f>ROUND(I25*$C$9,0)</f>
        <v>14022016</v>
      </c>
      <c r="K25" s="608"/>
      <c r="L25" s="11"/>
    </row>
    <row r="26" spans="1:12" ht="15" customHeight="1" x14ac:dyDescent="0.25">
      <c r="A26" s="360" t="s">
        <v>183</v>
      </c>
      <c r="B26" s="457" t="s">
        <v>25</v>
      </c>
      <c r="C26" s="395">
        <v>53900</v>
      </c>
      <c r="D26" s="461" t="s">
        <v>182</v>
      </c>
      <c r="E26" s="447">
        <v>8.62300589566245E-2</v>
      </c>
      <c r="F26" s="448">
        <v>5.2321541280230678E-2</v>
      </c>
      <c r="G26" s="448">
        <v>9.785543403964457E-2</v>
      </c>
      <c r="H26" s="361">
        <v>6.1321344282222842E-2</v>
      </c>
      <c r="I26" s="447">
        <f t="shared" si="0"/>
        <v>8.2756308963567032E-2</v>
      </c>
      <c r="J26" s="322">
        <f t="shared" si="1"/>
        <v>16551262</v>
      </c>
      <c r="K26" s="608"/>
      <c r="L26" s="11"/>
    </row>
    <row r="27" spans="1:12" ht="15" customHeight="1" x14ac:dyDescent="0.25">
      <c r="A27" s="362" t="s">
        <v>184</v>
      </c>
      <c r="B27" s="458" t="s">
        <v>196</v>
      </c>
      <c r="C27" s="410">
        <v>54510</v>
      </c>
      <c r="D27" s="462" t="s">
        <v>185</v>
      </c>
      <c r="E27" s="447">
        <v>9.1211718829099647E-2</v>
      </c>
      <c r="F27" s="448">
        <v>0.12940945713143459</v>
      </c>
      <c r="G27" s="448">
        <v>0.10420155502392345</v>
      </c>
      <c r="H27" s="361">
        <v>0.10962242551423874</v>
      </c>
      <c r="I27" s="447">
        <f t="shared" si="0"/>
        <v>9.725101161307248E-2</v>
      </c>
      <c r="J27" s="322">
        <f t="shared" si="1"/>
        <v>19450202</v>
      </c>
      <c r="K27" s="608"/>
      <c r="L27" s="11"/>
    </row>
    <row r="28" spans="1:12" ht="15.75" customHeight="1" thickBot="1" x14ac:dyDescent="0.3">
      <c r="A28" s="364" t="s">
        <v>184</v>
      </c>
      <c r="B28" s="459" t="s">
        <v>196</v>
      </c>
      <c r="C28" s="396">
        <v>54530</v>
      </c>
      <c r="D28" s="463" t="s">
        <v>179</v>
      </c>
      <c r="E28" s="449">
        <v>3.383620014740011E-2</v>
      </c>
      <c r="F28" s="450">
        <v>6.8552762851180254E-2</v>
      </c>
      <c r="G28" s="450">
        <v>3.8219839371155161E-2</v>
      </c>
      <c r="H28" s="397">
        <v>9.1262647919257325E-2</v>
      </c>
      <c r="I28" s="449">
        <f t="shared" si="0"/>
        <v>4.0617542728746493E-2</v>
      </c>
      <c r="J28" s="398">
        <f>ROUND(I28*$C$9-0.1,0)</f>
        <v>8123508</v>
      </c>
      <c r="K28" s="608"/>
      <c r="L28" s="11"/>
    </row>
    <row r="29" spans="1:12" ht="15.75" customHeight="1" thickBot="1" x14ac:dyDescent="0.3">
      <c r="A29" s="957" t="s">
        <v>102</v>
      </c>
      <c r="B29" s="958"/>
      <c r="C29" s="958"/>
      <c r="D29" s="958"/>
      <c r="E29" s="451">
        <f>SUM(E13:E28)</f>
        <v>1.0000000000000002</v>
      </c>
      <c r="F29" s="452">
        <f t="shared" ref="F29:J29" si="2">SUM(F13:F28)</f>
        <v>1</v>
      </c>
      <c r="G29" s="452">
        <f t="shared" si="2"/>
        <v>1.0000000000000002</v>
      </c>
      <c r="H29" s="453">
        <f t="shared" si="2"/>
        <v>1</v>
      </c>
      <c r="I29" s="454">
        <f t="shared" si="2"/>
        <v>1</v>
      </c>
      <c r="J29" s="455">
        <f t="shared" si="2"/>
        <v>200000000</v>
      </c>
    </row>
    <row r="31" spans="1:12" ht="15" customHeight="1" x14ac:dyDescent="0.25">
      <c r="A31" s="441" t="s">
        <v>187</v>
      </c>
    </row>
  </sheetData>
  <mergeCells count="2">
    <mergeCell ref="A1:D1"/>
    <mergeCell ref="A29:D29"/>
  </mergeCells>
  <hyperlinks>
    <hyperlink ref="A31" location="'0 Seznam'!A1" display="Seznam" xr:uid="{A491B748-68D3-42EC-9BD0-06650C97EF5B}"/>
  </hyperlinks>
  <pageMargins left="0.70866141732283472" right="0.70866141732283472" top="0.78740157480314965" bottom="0.78740157480314965" header="0.31496062992125984" footer="0.31496062992125984"/>
  <pageSetup paperSize="8" scale="73" orientation="landscape" r:id="rId1"/>
  <headerFooter>
    <oddHeader xml:space="preserve">&amp;LČ. j.: MSMT-5003/2026-1
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1:G39"/>
  <sheetViews>
    <sheetView topLeftCell="A6" zoomScale="85" zoomScaleNormal="85" workbookViewId="0">
      <selection activeCell="A39" sqref="A39"/>
    </sheetView>
  </sheetViews>
  <sheetFormatPr defaultRowHeight="15" x14ac:dyDescent="0.25"/>
  <cols>
    <col min="1" max="1" width="11.140625" customWidth="1"/>
    <col min="2" max="2" width="61.85546875" customWidth="1"/>
    <col min="3" max="5" width="15.7109375" customWidth="1"/>
    <col min="7" max="7" width="14.5703125" customWidth="1"/>
  </cols>
  <sheetData>
    <row r="1" spans="1:7" ht="27.75" customHeight="1" x14ac:dyDescent="0.25">
      <c r="A1" s="956" t="s">
        <v>247</v>
      </c>
      <c r="B1" s="956"/>
      <c r="C1" s="956"/>
      <c r="D1" s="956"/>
      <c r="E1" s="956"/>
    </row>
    <row r="2" spans="1:7" ht="15.75" x14ac:dyDescent="0.25">
      <c r="A2" s="276"/>
      <c r="B2" s="276"/>
      <c r="C2" s="276"/>
      <c r="D2" s="276"/>
      <c r="E2" s="276"/>
    </row>
    <row r="3" spans="1:7" ht="47.25" customHeight="1" x14ac:dyDescent="0.25">
      <c r="A3" s="961" t="s">
        <v>241</v>
      </c>
      <c r="B3" s="961"/>
      <c r="C3" s="961"/>
      <c r="D3" s="961"/>
      <c r="E3" s="961"/>
    </row>
    <row r="4" spans="1:7" x14ac:dyDescent="0.25">
      <c r="A4" s="277"/>
      <c r="B4" s="277"/>
      <c r="C4" s="277"/>
      <c r="D4" s="277"/>
      <c r="E4" s="277"/>
    </row>
    <row r="5" spans="1:7" x14ac:dyDescent="0.25">
      <c r="A5" s="278" t="s">
        <v>108</v>
      </c>
      <c r="B5" s="279"/>
      <c r="C5" s="279"/>
      <c r="D5" s="280"/>
      <c r="E5" s="281">
        <f>'1 Bilance'!J51</f>
        <v>25000000</v>
      </c>
    </row>
    <row r="6" spans="1:7" x14ac:dyDescent="0.25">
      <c r="A6" s="278" t="s">
        <v>109</v>
      </c>
      <c r="B6" s="279"/>
      <c r="C6" s="279"/>
      <c r="D6" s="280"/>
      <c r="E6" s="282">
        <f>E5/D37</f>
        <v>23.372972816957745</v>
      </c>
    </row>
    <row r="7" spans="1:7" x14ac:dyDescent="0.25">
      <c r="A7" s="283"/>
      <c r="B7" s="283"/>
      <c r="C7" s="283"/>
      <c r="D7" s="283"/>
      <c r="E7" s="284"/>
    </row>
    <row r="8" spans="1:7" ht="15.75" thickBot="1" x14ac:dyDescent="0.3">
      <c r="A8" s="285"/>
      <c r="B8" s="285"/>
      <c r="C8" s="285"/>
      <c r="D8" s="285"/>
      <c r="E8" s="286" t="s">
        <v>0</v>
      </c>
    </row>
    <row r="9" spans="1:7" x14ac:dyDescent="0.25">
      <c r="A9" s="962" t="s">
        <v>2</v>
      </c>
      <c r="B9" s="964" t="s">
        <v>3</v>
      </c>
      <c r="C9" s="966" t="s">
        <v>110</v>
      </c>
      <c r="D9" s="967"/>
      <c r="E9" s="968" t="s">
        <v>200</v>
      </c>
    </row>
    <row r="10" spans="1:7" ht="45.75" thickBot="1" x14ac:dyDescent="0.3">
      <c r="A10" s="963"/>
      <c r="B10" s="965"/>
      <c r="C10" s="287" t="s">
        <v>111</v>
      </c>
      <c r="D10" s="288" t="s">
        <v>112</v>
      </c>
      <c r="E10" s="969"/>
    </row>
    <row r="11" spans="1:7" x14ac:dyDescent="0.25">
      <c r="A11" s="289">
        <v>11000</v>
      </c>
      <c r="B11" s="290" t="s">
        <v>4</v>
      </c>
      <c r="C11" s="291">
        <v>7433</v>
      </c>
      <c r="D11" s="292">
        <v>191141.8</v>
      </c>
      <c r="E11" s="293">
        <f>ROUND(D11*$E$6,-3)</f>
        <v>4468000</v>
      </c>
      <c r="G11" s="438"/>
    </row>
    <row r="12" spans="1:7" x14ac:dyDescent="0.25">
      <c r="A12" s="294">
        <v>12000</v>
      </c>
      <c r="B12" s="295" t="s">
        <v>5</v>
      </c>
      <c r="C12" s="296">
        <v>1665</v>
      </c>
      <c r="D12" s="297">
        <v>38421.919999999998</v>
      </c>
      <c r="E12" s="293">
        <f>ROUND(D12*$E$6,-3)</f>
        <v>898000</v>
      </c>
      <c r="G12" s="11"/>
    </row>
    <row r="13" spans="1:7" x14ac:dyDescent="0.25">
      <c r="A13" s="294">
        <v>13000</v>
      </c>
      <c r="B13" s="295" t="s">
        <v>6</v>
      </c>
      <c r="C13" s="296">
        <v>2883</v>
      </c>
      <c r="D13" s="297">
        <v>48262.103999999999</v>
      </c>
      <c r="E13" s="293">
        <f t="shared" ref="E13:E36" si="0">ROUND(D13*$E$6,-3)</f>
        <v>1128000</v>
      </c>
      <c r="G13" s="11"/>
    </row>
    <row r="14" spans="1:7" x14ac:dyDescent="0.25">
      <c r="A14" s="294">
        <v>14000</v>
      </c>
      <c r="B14" s="295" t="s">
        <v>7</v>
      </c>
      <c r="C14" s="296">
        <v>5320</v>
      </c>
      <c r="D14" s="297">
        <v>68878.432000000001</v>
      </c>
      <c r="E14" s="293">
        <f t="shared" si="0"/>
        <v>1610000</v>
      </c>
      <c r="G14" s="11"/>
    </row>
    <row r="15" spans="1:7" x14ac:dyDescent="0.25">
      <c r="A15" s="294">
        <v>15000</v>
      </c>
      <c r="B15" s="295" t="s">
        <v>8</v>
      </c>
      <c r="C15" s="296">
        <v>2295</v>
      </c>
      <c r="D15" s="297">
        <v>45298.845999999998</v>
      </c>
      <c r="E15" s="293">
        <f t="shared" si="0"/>
        <v>1059000</v>
      </c>
      <c r="G15" s="11"/>
    </row>
    <row r="16" spans="1:7" x14ac:dyDescent="0.25">
      <c r="A16" s="294">
        <v>16000</v>
      </c>
      <c r="B16" s="295" t="s">
        <v>193</v>
      </c>
      <c r="C16" s="296">
        <v>97</v>
      </c>
      <c r="D16" s="297">
        <v>1411.2</v>
      </c>
      <c r="E16" s="293">
        <f t="shared" si="0"/>
        <v>33000</v>
      </c>
      <c r="G16" s="11"/>
    </row>
    <row r="17" spans="1:7" x14ac:dyDescent="0.25">
      <c r="A17" s="294">
        <v>17000</v>
      </c>
      <c r="B17" s="295" t="s">
        <v>9</v>
      </c>
      <c r="C17" s="296">
        <v>2596</v>
      </c>
      <c r="D17" s="297">
        <v>52428.495999999999</v>
      </c>
      <c r="E17" s="293">
        <f t="shared" si="0"/>
        <v>1225000</v>
      </c>
      <c r="G17" s="11"/>
    </row>
    <row r="18" spans="1:7" x14ac:dyDescent="0.25">
      <c r="A18" s="294">
        <v>18000</v>
      </c>
      <c r="B18" s="295" t="s">
        <v>10</v>
      </c>
      <c r="C18" s="296">
        <v>1214</v>
      </c>
      <c r="D18" s="297">
        <v>25804.031999999999</v>
      </c>
      <c r="E18" s="293">
        <f t="shared" si="0"/>
        <v>603000</v>
      </c>
      <c r="G18" s="11"/>
    </row>
    <row r="19" spans="1:7" x14ac:dyDescent="0.25">
      <c r="A19" s="294">
        <v>19000</v>
      </c>
      <c r="B19" s="295" t="s">
        <v>11</v>
      </c>
      <c r="C19" s="296">
        <v>1119</v>
      </c>
      <c r="D19" s="297">
        <v>43288.4</v>
      </c>
      <c r="E19" s="293">
        <f t="shared" si="0"/>
        <v>1012000</v>
      </c>
      <c r="G19" s="11"/>
    </row>
    <row r="20" spans="1:7" x14ac:dyDescent="0.25">
      <c r="A20" s="294">
        <v>21000</v>
      </c>
      <c r="B20" s="295" t="s">
        <v>12</v>
      </c>
      <c r="C20" s="296">
        <v>1747</v>
      </c>
      <c r="D20" s="297">
        <v>52843.968000000001</v>
      </c>
      <c r="E20" s="293">
        <f>ROUND(D20*$E$6,-3)</f>
        <v>1235000</v>
      </c>
      <c r="G20" s="11"/>
    </row>
    <row r="21" spans="1:7" x14ac:dyDescent="0.25">
      <c r="A21" s="294">
        <v>22000</v>
      </c>
      <c r="B21" s="295" t="s">
        <v>13</v>
      </c>
      <c r="C21" s="296">
        <v>321</v>
      </c>
      <c r="D21" s="297">
        <v>10315.487999999999</v>
      </c>
      <c r="E21" s="293">
        <f>ROUND(D21*$E$6,-3)</f>
        <v>241000</v>
      </c>
      <c r="G21" s="11"/>
    </row>
    <row r="22" spans="1:7" x14ac:dyDescent="0.25">
      <c r="A22" s="294">
        <v>23000</v>
      </c>
      <c r="B22" s="295" t="s">
        <v>14</v>
      </c>
      <c r="C22" s="296">
        <v>5548</v>
      </c>
      <c r="D22" s="297">
        <v>94282.555999999997</v>
      </c>
      <c r="E22" s="293">
        <f t="shared" si="0"/>
        <v>2204000</v>
      </c>
      <c r="G22" s="11"/>
    </row>
    <row r="23" spans="1:7" x14ac:dyDescent="0.25">
      <c r="A23" s="294">
        <v>24000</v>
      </c>
      <c r="B23" s="295" t="s">
        <v>15</v>
      </c>
      <c r="C23" s="296">
        <v>2218</v>
      </c>
      <c r="D23" s="297">
        <v>57290.103999999999</v>
      </c>
      <c r="E23" s="293">
        <f t="shared" si="0"/>
        <v>1339000</v>
      </c>
      <c r="G23" s="11"/>
    </row>
    <row r="24" spans="1:7" x14ac:dyDescent="0.25">
      <c r="A24" s="294">
        <v>25000</v>
      </c>
      <c r="B24" s="295" t="s">
        <v>16</v>
      </c>
      <c r="C24" s="296">
        <v>1556</v>
      </c>
      <c r="D24" s="297">
        <v>33304.296000000002</v>
      </c>
      <c r="E24" s="293">
        <f t="shared" si="0"/>
        <v>778000</v>
      </c>
      <c r="G24" s="11"/>
    </row>
    <row r="25" spans="1:7" x14ac:dyDescent="0.25">
      <c r="A25" s="294">
        <v>26000</v>
      </c>
      <c r="B25" s="295" t="s">
        <v>17</v>
      </c>
      <c r="C25" s="296">
        <v>2083</v>
      </c>
      <c r="D25" s="297">
        <v>34802.400000000001</v>
      </c>
      <c r="E25" s="293">
        <f t="shared" si="0"/>
        <v>813000</v>
      </c>
      <c r="G25" s="11"/>
    </row>
    <row r="26" spans="1:7" x14ac:dyDescent="0.25">
      <c r="A26" s="294">
        <v>27000</v>
      </c>
      <c r="B26" s="295" t="s">
        <v>18</v>
      </c>
      <c r="C26" s="296">
        <v>534</v>
      </c>
      <c r="D26" s="297">
        <v>14775.288</v>
      </c>
      <c r="E26" s="293">
        <f t="shared" si="0"/>
        <v>345000</v>
      </c>
      <c r="G26" s="11"/>
    </row>
    <row r="27" spans="1:7" x14ac:dyDescent="0.25">
      <c r="A27" s="294">
        <v>28000</v>
      </c>
      <c r="B27" s="295" t="s">
        <v>19</v>
      </c>
      <c r="C27" s="296">
        <v>1118</v>
      </c>
      <c r="D27" s="297">
        <v>39695.839999999997</v>
      </c>
      <c r="E27" s="293">
        <f>ROUND(D27*$E$6,-3)</f>
        <v>928000</v>
      </c>
      <c r="G27" s="11"/>
    </row>
    <row r="28" spans="1:7" x14ac:dyDescent="0.25">
      <c r="A28" s="294">
        <v>31000</v>
      </c>
      <c r="B28" s="295" t="s">
        <v>20</v>
      </c>
      <c r="C28" s="296">
        <v>2852</v>
      </c>
      <c r="D28" s="297">
        <v>67223.100000000006</v>
      </c>
      <c r="E28" s="293">
        <f>ROUND(D28*$E$6,-3)</f>
        <v>1571000</v>
      </c>
      <c r="G28" s="11"/>
    </row>
    <row r="29" spans="1:7" x14ac:dyDescent="0.25">
      <c r="A29" s="294">
        <v>41000</v>
      </c>
      <c r="B29" s="295" t="s">
        <v>21</v>
      </c>
      <c r="C29" s="296">
        <v>18130</v>
      </c>
      <c r="D29" s="297">
        <v>45122.063999999998</v>
      </c>
      <c r="E29" s="293">
        <f t="shared" si="0"/>
        <v>1055000</v>
      </c>
      <c r="G29" s="11"/>
    </row>
    <row r="30" spans="1:7" x14ac:dyDescent="0.25">
      <c r="A30" s="294">
        <v>43000</v>
      </c>
      <c r="B30" s="295" t="s">
        <v>22</v>
      </c>
      <c r="C30" s="296">
        <v>1656</v>
      </c>
      <c r="D30" s="297">
        <v>80619.144</v>
      </c>
      <c r="E30" s="293">
        <f>ROUND(D30*$E$6,-3)</f>
        <v>1884000</v>
      </c>
      <c r="G30" s="11"/>
    </row>
    <row r="31" spans="1:7" x14ac:dyDescent="0.25">
      <c r="A31" s="294">
        <v>51000</v>
      </c>
      <c r="B31" s="295" t="s">
        <v>23</v>
      </c>
      <c r="C31" s="298">
        <v>0</v>
      </c>
      <c r="D31" s="299">
        <v>0</v>
      </c>
      <c r="E31" s="300">
        <f t="shared" si="0"/>
        <v>0</v>
      </c>
      <c r="G31" s="11"/>
    </row>
    <row r="32" spans="1:7" x14ac:dyDescent="0.25">
      <c r="A32" s="294">
        <v>52000</v>
      </c>
      <c r="B32" s="295" t="s">
        <v>24</v>
      </c>
      <c r="C32" s="298">
        <v>0</v>
      </c>
      <c r="D32" s="299">
        <v>0</v>
      </c>
      <c r="E32" s="300">
        <f t="shared" si="0"/>
        <v>0</v>
      </c>
      <c r="G32" s="11"/>
    </row>
    <row r="33" spans="1:7" x14ac:dyDescent="0.25">
      <c r="A33" s="294">
        <v>53000</v>
      </c>
      <c r="B33" s="295" t="s">
        <v>25</v>
      </c>
      <c r="C33" s="298">
        <v>0</v>
      </c>
      <c r="D33" s="299">
        <v>0</v>
      </c>
      <c r="E33" s="300">
        <f t="shared" si="0"/>
        <v>0</v>
      </c>
      <c r="G33" s="11"/>
    </row>
    <row r="34" spans="1:7" x14ac:dyDescent="0.25">
      <c r="A34" s="294">
        <v>54000</v>
      </c>
      <c r="B34" s="295" t="s">
        <v>196</v>
      </c>
      <c r="C34" s="298">
        <v>151</v>
      </c>
      <c r="D34" s="299">
        <v>2393.2800000000002</v>
      </c>
      <c r="E34" s="293">
        <f t="shared" si="0"/>
        <v>56000</v>
      </c>
      <c r="G34" s="11"/>
    </row>
    <row r="35" spans="1:7" x14ac:dyDescent="0.25">
      <c r="A35" s="294">
        <v>55000</v>
      </c>
      <c r="B35" s="295" t="s">
        <v>26</v>
      </c>
      <c r="C35" s="296">
        <v>843</v>
      </c>
      <c r="D35" s="297">
        <v>20660.448</v>
      </c>
      <c r="E35" s="293">
        <f t="shared" si="0"/>
        <v>483000</v>
      </c>
      <c r="G35" s="11"/>
    </row>
    <row r="36" spans="1:7" ht="15.75" thickBot="1" x14ac:dyDescent="0.3">
      <c r="A36" s="301">
        <v>56000</v>
      </c>
      <c r="B36" s="302" t="s">
        <v>27</v>
      </c>
      <c r="C36" s="303">
        <v>103</v>
      </c>
      <c r="D36" s="304">
        <v>1348.2719999999999</v>
      </c>
      <c r="E36" s="300">
        <f t="shared" si="0"/>
        <v>32000</v>
      </c>
      <c r="G36" s="11"/>
    </row>
    <row r="37" spans="1:7" ht="15.75" thickBot="1" x14ac:dyDescent="0.3">
      <c r="A37" s="959" t="s">
        <v>28</v>
      </c>
      <c r="B37" s="960"/>
      <c r="C37" s="305">
        <f>SUM(C11:C36)</f>
        <v>63482</v>
      </c>
      <c r="D37" s="306">
        <f t="shared" ref="D37:E37" si="1">SUM(D11:D36)</f>
        <v>1069611.4780000001</v>
      </c>
      <c r="E37" s="307">
        <f t="shared" si="1"/>
        <v>25000000</v>
      </c>
    </row>
    <row r="39" spans="1:7" x14ac:dyDescent="0.25">
      <c r="A39" s="441" t="s">
        <v>187</v>
      </c>
    </row>
  </sheetData>
  <mergeCells count="7">
    <mergeCell ref="A1:E1"/>
    <mergeCell ref="A37:B37"/>
    <mergeCell ref="A3:E3"/>
    <mergeCell ref="A9:A10"/>
    <mergeCell ref="B9:B10"/>
    <mergeCell ref="C9:D9"/>
    <mergeCell ref="E9:E10"/>
  </mergeCells>
  <hyperlinks>
    <hyperlink ref="A39" location="'0 Seznam'!A1" display="Seznam" xr:uid="{3C57CCDB-FCED-462A-9703-48B3F5E75C4C}"/>
  </hyperlinks>
  <pageMargins left="0.70866141732283472" right="0.70866141732283472" top="0.78740157480314965" bottom="0.78740157480314965" header="0.31496062992125984" footer="0.31496062992125984"/>
  <pageSetup paperSize="9" scale="73" orientation="landscape" r:id="rId1"/>
  <headerFooter>
    <oddHeader xml:space="preserve">&amp;LČ. j.: MSMT-5003/2026-1
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</sheetPr>
  <dimension ref="A1:J42"/>
  <sheetViews>
    <sheetView topLeftCell="A6" zoomScale="85" zoomScaleNormal="85" workbookViewId="0">
      <selection activeCell="E27" sqref="E27"/>
    </sheetView>
  </sheetViews>
  <sheetFormatPr defaultRowHeight="15" x14ac:dyDescent="0.25"/>
  <cols>
    <col min="1" max="1" width="10.85546875" customWidth="1"/>
    <col min="2" max="2" width="58.5703125" customWidth="1"/>
    <col min="3" max="5" width="15.7109375" customWidth="1"/>
    <col min="7" max="7" width="18.28515625" customWidth="1"/>
  </cols>
  <sheetData>
    <row r="1" spans="1:10" ht="27.75" customHeight="1" x14ac:dyDescent="0.25">
      <c r="A1" s="956" t="s">
        <v>248</v>
      </c>
      <c r="B1" s="956"/>
      <c r="C1" s="956"/>
      <c r="D1" s="956"/>
      <c r="E1" s="956"/>
    </row>
    <row r="2" spans="1:10" ht="15.75" x14ac:dyDescent="0.25">
      <c r="A2" s="276"/>
      <c r="B2" s="276"/>
      <c r="C2" s="276"/>
      <c r="D2" s="276"/>
      <c r="E2" s="276"/>
    </row>
    <row r="3" spans="1:10" ht="48" customHeight="1" x14ac:dyDescent="0.25">
      <c r="A3" s="961" t="s">
        <v>243</v>
      </c>
      <c r="B3" s="961"/>
      <c r="C3" s="961"/>
      <c r="D3" s="961"/>
      <c r="E3" s="961"/>
    </row>
    <row r="4" spans="1:10" x14ac:dyDescent="0.25">
      <c r="A4" s="308"/>
      <c r="B4" s="308"/>
      <c r="C4" s="308"/>
      <c r="D4" s="308"/>
      <c r="E4" s="308"/>
    </row>
    <row r="5" spans="1:10" x14ac:dyDescent="0.25">
      <c r="A5" s="309" t="s">
        <v>113</v>
      </c>
      <c r="B5" s="310"/>
      <c r="C5" s="310"/>
      <c r="D5" s="311"/>
      <c r="E5" s="312">
        <f>'1 Bilance'!J50</f>
        <v>123462000</v>
      </c>
    </row>
    <row r="6" spans="1:10" x14ac:dyDescent="0.25">
      <c r="A6" s="309" t="s">
        <v>114</v>
      </c>
      <c r="B6" s="310"/>
      <c r="C6" s="310"/>
      <c r="D6" s="311"/>
      <c r="E6" s="313">
        <f>E5/D37</f>
        <v>0.68141928960457787</v>
      </c>
      <c r="G6" s="340"/>
    </row>
    <row r="7" spans="1:10" ht="27.75" x14ac:dyDescent="0.25">
      <c r="A7" s="314"/>
      <c r="B7" s="315"/>
      <c r="C7" s="314"/>
      <c r="D7" s="316"/>
      <c r="E7" s="314"/>
    </row>
    <row r="8" spans="1:10" ht="15.75" thickBot="1" x14ac:dyDescent="0.3">
      <c r="A8" s="317"/>
      <c r="B8" s="314"/>
      <c r="C8" s="314"/>
      <c r="D8" s="314"/>
      <c r="E8" s="318"/>
    </row>
    <row r="9" spans="1:10" ht="15" customHeight="1" x14ac:dyDescent="0.25">
      <c r="A9" s="882" t="s">
        <v>2</v>
      </c>
      <c r="B9" s="970" t="s">
        <v>3</v>
      </c>
      <c r="C9" s="972" t="s">
        <v>189</v>
      </c>
      <c r="D9" s="973"/>
      <c r="E9" s="974" t="s">
        <v>199</v>
      </c>
    </row>
    <row r="10" spans="1:10" ht="45.75" thickBot="1" x14ac:dyDescent="0.3">
      <c r="A10" s="895"/>
      <c r="B10" s="971"/>
      <c r="C10" s="411" t="s">
        <v>186</v>
      </c>
      <c r="D10" s="412" t="s">
        <v>115</v>
      </c>
      <c r="E10" s="975"/>
    </row>
    <row r="11" spans="1:10" x14ac:dyDescent="0.25">
      <c r="A11" s="413">
        <v>11000</v>
      </c>
      <c r="B11" s="414" t="s">
        <v>4</v>
      </c>
      <c r="C11" s="420">
        <v>1615</v>
      </c>
      <c r="D11" s="474">
        <v>39335850</v>
      </c>
      <c r="E11" s="434">
        <f>ROUND(D11/$D$37*$E$5,-3)</f>
        <v>26804000</v>
      </c>
      <c r="G11" s="482"/>
      <c r="I11" s="439"/>
      <c r="J11" s="11"/>
    </row>
    <row r="12" spans="1:10" x14ac:dyDescent="0.25">
      <c r="A12" s="415">
        <v>12000</v>
      </c>
      <c r="B12" s="416" t="s">
        <v>5</v>
      </c>
      <c r="C12" s="421">
        <v>170.2</v>
      </c>
      <c r="D12" s="475">
        <v>5113700</v>
      </c>
      <c r="E12" s="434">
        <f>ROUND(D12/$D$37*$E$5,-3)</f>
        <v>3485000</v>
      </c>
      <c r="G12" s="482"/>
      <c r="I12" s="439"/>
    </row>
    <row r="13" spans="1:10" x14ac:dyDescent="0.25">
      <c r="A13" s="415">
        <v>13000</v>
      </c>
      <c r="B13" s="416" t="s">
        <v>6</v>
      </c>
      <c r="C13" s="422">
        <v>198</v>
      </c>
      <c r="D13" s="475">
        <v>5638000</v>
      </c>
      <c r="E13" s="434">
        <f t="shared" ref="E13:E36" si="0">ROUND(D13/$D$37*$E$5,-3)</f>
        <v>3842000</v>
      </c>
      <c r="G13" s="482"/>
      <c r="I13" s="439"/>
    </row>
    <row r="14" spans="1:10" x14ac:dyDescent="0.25">
      <c r="A14" s="415">
        <v>14000</v>
      </c>
      <c r="B14" s="416" t="s">
        <v>7</v>
      </c>
      <c r="C14" s="430">
        <v>1110.0999999999999</v>
      </c>
      <c r="D14" s="475">
        <v>27266150</v>
      </c>
      <c r="E14" s="434">
        <f t="shared" si="0"/>
        <v>18580000</v>
      </c>
      <c r="G14" s="482"/>
      <c r="I14" s="439"/>
    </row>
    <row r="15" spans="1:10" x14ac:dyDescent="0.25">
      <c r="A15" s="415">
        <v>15000</v>
      </c>
      <c r="B15" s="416" t="s">
        <v>8</v>
      </c>
      <c r="C15" s="423">
        <v>644.79999999999995</v>
      </c>
      <c r="D15" s="475">
        <v>17266000</v>
      </c>
      <c r="E15" s="434">
        <f t="shared" si="0"/>
        <v>11765000</v>
      </c>
      <c r="G15" s="482"/>
      <c r="I15" s="439"/>
    </row>
    <row r="16" spans="1:10" x14ac:dyDescent="0.25">
      <c r="A16" s="415">
        <v>16000</v>
      </c>
      <c r="B16" s="416" t="s">
        <v>193</v>
      </c>
      <c r="C16" s="423">
        <v>0</v>
      </c>
      <c r="D16" s="476">
        <v>0</v>
      </c>
      <c r="E16" s="434">
        <f t="shared" si="0"/>
        <v>0</v>
      </c>
      <c r="G16" s="482"/>
      <c r="I16" s="439"/>
    </row>
    <row r="17" spans="1:9" x14ac:dyDescent="0.25">
      <c r="A17" s="415">
        <v>17000</v>
      </c>
      <c r="B17" s="416" t="s">
        <v>9</v>
      </c>
      <c r="C17" s="424">
        <v>295.80000000000007</v>
      </c>
      <c r="D17" s="475">
        <v>7980100</v>
      </c>
      <c r="E17" s="434">
        <f t="shared" si="0"/>
        <v>5438000</v>
      </c>
      <c r="G17" s="482"/>
      <c r="I17" s="439"/>
    </row>
    <row r="18" spans="1:9" x14ac:dyDescent="0.25">
      <c r="A18" s="415">
        <v>18000</v>
      </c>
      <c r="B18" s="416" t="s">
        <v>10</v>
      </c>
      <c r="C18" s="424">
        <v>197.46999999999997</v>
      </c>
      <c r="D18" s="475">
        <v>5663350</v>
      </c>
      <c r="E18" s="434">
        <f t="shared" si="0"/>
        <v>3859000</v>
      </c>
      <c r="G18" s="482"/>
      <c r="I18" s="439"/>
    </row>
    <row r="19" spans="1:9" x14ac:dyDescent="0.25">
      <c r="A19" s="415">
        <v>19000</v>
      </c>
      <c r="B19" s="416" t="s">
        <v>11</v>
      </c>
      <c r="C19" s="425">
        <v>195.5</v>
      </c>
      <c r="D19" s="475">
        <v>4927600</v>
      </c>
      <c r="E19" s="434">
        <f t="shared" si="0"/>
        <v>3358000</v>
      </c>
      <c r="G19" s="482"/>
      <c r="I19" s="439"/>
    </row>
    <row r="20" spans="1:9" x14ac:dyDescent="0.25">
      <c r="A20" s="415">
        <v>21000</v>
      </c>
      <c r="B20" s="416" t="s">
        <v>12</v>
      </c>
      <c r="C20" s="422">
        <v>318</v>
      </c>
      <c r="D20" s="475">
        <v>7580000</v>
      </c>
      <c r="E20" s="434">
        <f>ROUND(D20/$D$37*$E$5,-3)</f>
        <v>5165000</v>
      </c>
      <c r="G20" s="482"/>
      <c r="I20" s="439"/>
    </row>
    <row r="21" spans="1:9" x14ac:dyDescent="0.25">
      <c r="A21" s="415">
        <v>22000</v>
      </c>
      <c r="B21" s="416" t="s">
        <v>13</v>
      </c>
      <c r="C21" s="422">
        <v>157</v>
      </c>
      <c r="D21" s="475">
        <v>3214000</v>
      </c>
      <c r="E21" s="434">
        <f t="shared" si="0"/>
        <v>2190000</v>
      </c>
      <c r="G21" s="482"/>
      <c r="I21" s="439"/>
    </row>
    <row r="22" spans="1:9" x14ac:dyDescent="0.25">
      <c r="A22" s="415">
        <v>23000</v>
      </c>
      <c r="B22" s="416" t="s">
        <v>14</v>
      </c>
      <c r="C22" s="425">
        <v>225.1</v>
      </c>
      <c r="D22" s="475">
        <v>5857000</v>
      </c>
      <c r="E22" s="434">
        <f>ROUND(D22/$D$37*$E$5-100,-3)</f>
        <v>3991000</v>
      </c>
      <c r="G22" s="482"/>
      <c r="I22" s="439"/>
    </row>
    <row r="23" spans="1:9" x14ac:dyDescent="0.25">
      <c r="A23" s="415">
        <v>24000</v>
      </c>
      <c r="B23" s="416" t="s">
        <v>15</v>
      </c>
      <c r="C23" s="424">
        <v>109.40000000000002</v>
      </c>
      <c r="D23" s="475">
        <v>3050900</v>
      </c>
      <c r="E23" s="434">
        <f>ROUND(D23/$D$37*$E$5,-3)</f>
        <v>2079000</v>
      </c>
      <c r="G23" s="482"/>
      <c r="I23" s="439"/>
    </row>
    <row r="24" spans="1:9" x14ac:dyDescent="0.25">
      <c r="A24" s="415">
        <v>25000</v>
      </c>
      <c r="B24" s="416" t="s">
        <v>16</v>
      </c>
      <c r="C24" s="426">
        <v>224.5</v>
      </c>
      <c r="D24" s="475">
        <v>6289050</v>
      </c>
      <c r="E24" s="434">
        <f t="shared" si="0"/>
        <v>4285000</v>
      </c>
      <c r="G24" s="482"/>
      <c r="I24" s="439"/>
    </row>
    <row r="25" spans="1:9" x14ac:dyDescent="0.25">
      <c r="A25" s="415">
        <v>26000</v>
      </c>
      <c r="B25" s="416" t="s">
        <v>17</v>
      </c>
      <c r="C25" s="422">
        <v>560</v>
      </c>
      <c r="D25" s="475">
        <v>12959700</v>
      </c>
      <c r="E25" s="434">
        <f t="shared" si="0"/>
        <v>8831000</v>
      </c>
      <c r="G25" s="482"/>
      <c r="I25" s="439"/>
    </row>
    <row r="26" spans="1:9" x14ac:dyDescent="0.25">
      <c r="A26" s="415">
        <v>27000</v>
      </c>
      <c r="B26" s="416" t="s">
        <v>18</v>
      </c>
      <c r="C26" s="427">
        <v>220.40000000000003</v>
      </c>
      <c r="D26" s="477">
        <v>5729300</v>
      </c>
      <c r="E26" s="434">
        <f t="shared" si="0"/>
        <v>3904000</v>
      </c>
      <c r="G26" s="482"/>
      <c r="I26" s="439"/>
    </row>
    <row r="27" spans="1:9" x14ac:dyDescent="0.25">
      <c r="A27" s="415">
        <v>28000</v>
      </c>
      <c r="B27" s="416" t="s">
        <v>19</v>
      </c>
      <c r="C27" s="428">
        <v>238.1</v>
      </c>
      <c r="D27" s="475">
        <v>5417600</v>
      </c>
      <c r="E27" s="434">
        <f t="shared" si="0"/>
        <v>3692000</v>
      </c>
      <c r="G27" s="482"/>
      <c r="I27" s="439"/>
    </row>
    <row r="28" spans="1:9" x14ac:dyDescent="0.25">
      <c r="A28" s="415">
        <v>31000</v>
      </c>
      <c r="B28" s="416" t="s">
        <v>20</v>
      </c>
      <c r="C28" s="428">
        <v>238</v>
      </c>
      <c r="D28" s="478">
        <v>5176000</v>
      </c>
      <c r="E28" s="434">
        <f t="shared" si="0"/>
        <v>3527000</v>
      </c>
      <c r="G28" s="482"/>
      <c r="I28" s="439"/>
    </row>
    <row r="29" spans="1:9" x14ac:dyDescent="0.25">
      <c r="A29" s="415">
        <v>41000</v>
      </c>
      <c r="B29" s="416" t="s">
        <v>21</v>
      </c>
      <c r="C29" s="427">
        <v>244.3</v>
      </c>
      <c r="D29" s="475">
        <v>5806100</v>
      </c>
      <c r="E29" s="434">
        <f t="shared" si="0"/>
        <v>3956000</v>
      </c>
      <c r="G29" s="482"/>
      <c r="I29" s="439"/>
    </row>
    <row r="30" spans="1:9" x14ac:dyDescent="0.25">
      <c r="A30" s="415">
        <v>43000</v>
      </c>
      <c r="B30" s="416" t="s">
        <v>22</v>
      </c>
      <c r="C30" s="427">
        <v>144.80000000000001</v>
      </c>
      <c r="D30" s="475">
        <v>4188000</v>
      </c>
      <c r="E30" s="434">
        <f t="shared" si="0"/>
        <v>2854000</v>
      </c>
      <c r="G30" s="482"/>
      <c r="I30" s="439"/>
    </row>
    <row r="31" spans="1:9" x14ac:dyDescent="0.25">
      <c r="A31" s="415">
        <v>51000</v>
      </c>
      <c r="B31" s="416" t="s">
        <v>23</v>
      </c>
      <c r="C31" s="431">
        <v>13.4</v>
      </c>
      <c r="D31" s="479">
        <v>213300</v>
      </c>
      <c r="E31" s="434">
        <f t="shared" si="0"/>
        <v>145000</v>
      </c>
      <c r="G31" s="482"/>
      <c r="I31" s="439"/>
    </row>
    <row r="32" spans="1:9" x14ac:dyDescent="0.25">
      <c r="A32" s="415">
        <v>52000</v>
      </c>
      <c r="B32" s="416" t="s">
        <v>24</v>
      </c>
      <c r="C32" s="431">
        <v>16.3</v>
      </c>
      <c r="D32" s="480">
        <v>331200</v>
      </c>
      <c r="E32" s="434">
        <f t="shared" si="0"/>
        <v>226000</v>
      </c>
      <c r="G32" s="482"/>
      <c r="I32" s="439"/>
    </row>
    <row r="33" spans="1:9" x14ac:dyDescent="0.25">
      <c r="A33" s="415">
        <v>53000</v>
      </c>
      <c r="B33" s="416" t="s">
        <v>25</v>
      </c>
      <c r="C33" s="432">
        <v>0</v>
      </c>
      <c r="D33" s="480">
        <v>0</v>
      </c>
      <c r="E33" s="434">
        <f t="shared" si="0"/>
        <v>0</v>
      </c>
      <c r="G33" s="482"/>
      <c r="I33" s="439"/>
    </row>
    <row r="34" spans="1:9" x14ac:dyDescent="0.25">
      <c r="A34" s="415">
        <v>54000</v>
      </c>
      <c r="B34" s="416" t="s">
        <v>196</v>
      </c>
      <c r="C34" s="427">
        <v>0</v>
      </c>
      <c r="D34" s="477">
        <v>0</v>
      </c>
      <c r="E34" s="434">
        <f t="shared" si="0"/>
        <v>0</v>
      </c>
      <c r="G34" s="482"/>
      <c r="I34" s="439"/>
    </row>
    <row r="35" spans="1:9" x14ac:dyDescent="0.25">
      <c r="A35" s="415">
        <v>55000</v>
      </c>
      <c r="B35" s="416" t="s">
        <v>26</v>
      </c>
      <c r="C35" s="427">
        <v>49.400000000000006</v>
      </c>
      <c r="D35" s="475">
        <v>1251700</v>
      </c>
      <c r="E35" s="434">
        <f t="shared" si="0"/>
        <v>853000</v>
      </c>
      <c r="G35" s="482"/>
      <c r="I35" s="439"/>
    </row>
    <row r="36" spans="1:9" ht="15.75" thickBot="1" x14ac:dyDescent="0.3">
      <c r="A36" s="417">
        <v>56000</v>
      </c>
      <c r="B36" s="319" t="s">
        <v>27</v>
      </c>
      <c r="C36" s="429">
        <v>39.799999999999997</v>
      </c>
      <c r="D36" s="475">
        <v>929000</v>
      </c>
      <c r="E36" s="434">
        <f t="shared" si="0"/>
        <v>633000</v>
      </c>
      <c r="G36" s="482"/>
      <c r="I36" s="439"/>
    </row>
    <row r="37" spans="1:9" ht="15.75" thickBot="1" x14ac:dyDescent="0.3">
      <c r="A37" s="386"/>
      <c r="B37" s="418" t="s">
        <v>28</v>
      </c>
      <c r="C37" s="419">
        <f>SUM(C11:C36)</f>
        <v>7225.3700000000008</v>
      </c>
      <c r="D37" s="433">
        <f t="shared" ref="D37:E37" si="1">SUM(D11:D36)</f>
        <v>181183600</v>
      </c>
      <c r="E37" s="435">
        <f t="shared" si="1"/>
        <v>123462000</v>
      </c>
    </row>
    <row r="39" spans="1:9" x14ac:dyDescent="0.25">
      <c r="B39" s="436" t="s">
        <v>242</v>
      </c>
      <c r="C39" s="437">
        <v>0.73070000000000002</v>
      </c>
    </row>
    <row r="40" spans="1:9" x14ac:dyDescent="0.25">
      <c r="A40" s="441" t="s">
        <v>187</v>
      </c>
      <c r="B40" s="320"/>
      <c r="C40" s="320"/>
      <c r="D40" s="320"/>
      <c r="E40" s="320"/>
    </row>
    <row r="41" spans="1:9" x14ac:dyDescent="0.25">
      <c r="A41" s="320"/>
      <c r="B41" s="320"/>
      <c r="C41" s="321"/>
      <c r="D41" s="320"/>
      <c r="E41" s="320"/>
    </row>
    <row r="42" spans="1:9" x14ac:dyDescent="0.25">
      <c r="A42" s="35"/>
    </row>
  </sheetData>
  <mergeCells count="6">
    <mergeCell ref="A1:E1"/>
    <mergeCell ref="A3:E3"/>
    <mergeCell ref="A9:A10"/>
    <mergeCell ref="B9:B10"/>
    <mergeCell ref="C9:D9"/>
    <mergeCell ref="E9:E10"/>
  </mergeCells>
  <hyperlinks>
    <hyperlink ref="A40" location="'0 Seznam'!A1" display="Seznam" xr:uid="{0DA9AECE-2B88-42F9-9A20-08E8036B6FD5}"/>
  </hyperlinks>
  <pageMargins left="0.70866141732283472" right="0.70866141732283472" top="0.78740157480314965" bottom="0.78740157480314965" header="0.31496062992125984" footer="0.31496062992125984"/>
  <pageSetup paperSize="9" scale="73" orientation="landscape" r:id="rId1"/>
  <headerFooter>
    <oddHeader xml:space="preserve">&amp;LČ. j.: MSMT-5003/2026-1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Q75"/>
  <sheetViews>
    <sheetView showGridLines="0" topLeftCell="A21" zoomScale="70" zoomScaleNormal="70" workbookViewId="0">
      <selection activeCell="D76" sqref="D76"/>
    </sheetView>
  </sheetViews>
  <sheetFormatPr defaultRowHeight="15" x14ac:dyDescent="0.25"/>
  <cols>
    <col min="1" max="1" width="5.7109375" customWidth="1"/>
    <col min="2" max="2" width="4.85546875" bestFit="1" customWidth="1"/>
    <col min="3" max="3" width="7.28515625" customWidth="1"/>
    <col min="4" max="4" width="17.140625" customWidth="1"/>
    <col min="5" max="7" width="23.28515625" customWidth="1"/>
    <col min="8" max="13" width="24.85546875" customWidth="1"/>
    <col min="14" max="14" width="19.42578125" customWidth="1"/>
    <col min="15" max="15" width="22.28515625" customWidth="1"/>
    <col min="16" max="17" width="19.42578125" customWidth="1"/>
    <col min="18" max="18" width="14" bestFit="1" customWidth="1"/>
    <col min="19" max="19" width="18.140625" customWidth="1"/>
    <col min="20" max="20" width="12" bestFit="1" customWidth="1"/>
    <col min="21" max="21" width="11" bestFit="1" customWidth="1"/>
  </cols>
  <sheetData>
    <row r="1" spans="1:17" ht="27.75" customHeight="1" x14ac:dyDescent="0.25">
      <c r="A1" s="827" t="s">
        <v>220</v>
      </c>
      <c r="B1" s="827"/>
      <c r="C1" s="827"/>
      <c r="D1" s="827"/>
      <c r="E1" s="827"/>
      <c r="F1" s="827"/>
      <c r="G1" s="827"/>
      <c r="H1" s="827"/>
      <c r="I1" s="827"/>
      <c r="J1" s="827"/>
      <c r="K1" s="827"/>
      <c r="L1" s="827"/>
      <c r="M1" s="708"/>
      <c r="N1" s="708"/>
      <c r="O1" s="708"/>
      <c r="P1" s="708"/>
      <c r="Q1" s="708"/>
    </row>
    <row r="2" spans="1:17" x14ac:dyDescent="0.25">
      <c r="A2" s="37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9"/>
      <c r="P2" s="39"/>
      <c r="Q2" s="39"/>
    </row>
    <row r="3" spans="1:17" ht="15.75" thickBot="1" x14ac:dyDescent="0.3">
      <c r="A3" s="39"/>
      <c r="B3" s="39"/>
      <c r="C3" s="38"/>
      <c r="D3" s="38"/>
      <c r="E3" s="38"/>
      <c r="F3" s="38"/>
      <c r="G3" s="38"/>
      <c r="H3" s="38"/>
      <c r="I3" s="38"/>
      <c r="J3" s="39"/>
      <c r="K3" s="39"/>
      <c r="L3" s="41" t="s">
        <v>0</v>
      </c>
      <c r="M3" s="39"/>
      <c r="N3" s="40"/>
      <c r="O3" s="39"/>
      <c r="P3" s="41"/>
      <c r="Q3" s="42"/>
    </row>
    <row r="4" spans="1:17" ht="16.5" thickBot="1" x14ac:dyDescent="0.3">
      <c r="A4" s="783" t="s">
        <v>44</v>
      </c>
      <c r="B4" s="784"/>
      <c r="C4" s="784"/>
      <c r="D4" s="784"/>
      <c r="E4" s="43">
        <v>2025</v>
      </c>
      <c r="F4" s="368">
        <v>2026</v>
      </c>
      <c r="G4" s="365"/>
      <c r="H4" s="785" t="s">
        <v>44</v>
      </c>
      <c r="I4" s="786"/>
      <c r="J4" s="43">
        <v>2025</v>
      </c>
      <c r="K4" s="44">
        <v>2026</v>
      </c>
      <c r="L4" s="45" t="s">
        <v>45</v>
      </c>
      <c r="M4" s="42"/>
    </row>
    <row r="5" spans="1:17" x14ac:dyDescent="0.25">
      <c r="A5" s="787" t="s">
        <v>46</v>
      </c>
      <c r="B5" s="788"/>
      <c r="C5" s="788"/>
      <c r="D5" s="789"/>
      <c r="E5" s="648">
        <v>56820.582716727477</v>
      </c>
      <c r="F5" s="369">
        <v>56387.494934221198</v>
      </c>
      <c r="G5" s="709"/>
      <c r="H5" s="790" t="s">
        <v>48</v>
      </c>
      <c r="I5" s="791"/>
      <c r="J5" s="46" t="s">
        <v>47</v>
      </c>
      <c r="K5" s="47" t="s">
        <v>47</v>
      </c>
      <c r="L5" s="48"/>
      <c r="M5" s="42"/>
      <c r="O5" s="11"/>
    </row>
    <row r="6" spans="1:17" x14ac:dyDescent="0.25">
      <c r="A6" s="808" t="s">
        <v>49</v>
      </c>
      <c r="B6" s="809"/>
      <c r="C6" s="809"/>
      <c r="D6" s="810"/>
      <c r="E6" s="49" t="s">
        <v>47</v>
      </c>
      <c r="F6" s="370" t="s">
        <v>47</v>
      </c>
      <c r="G6" s="366"/>
      <c r="H6" s="811" t="s">
        <v>50</v>
      </c>
      <c r="I6" s="812"/>
      <c r="J6" s="46">
        <v>6150</v>
      </c>
      <c r="K6" s="51">
        <v>6150</v>
      </c>
      <c r="L6" s="50">
        <f>K6/J6-1</f>
        <v>0</v>
      </c>
      <c r="M6" s="42"/>
      <c r="O6" s="11"/>
    </row>
    <row r="7" spans="1:17" ht="15.75" thickBot="1" x14ac:dyDescent="0.3">
      <c r="A7" s="849" t="s">
        <v>51</v>
      </c>
      <c r="B7" s="850"/>
      <c r="C7" s="850"/>
      <c r="D7" s="850"/>
      <c r="E7" s="52" t="s">
        <v>47</v>
      </c>
      <c r="F7" s="371" t="s">
        <v>47</v>
      </c>
      <c r="G7" s="367"/>
      <c r="H7" s="811" t="s">
        <v>116</v>
      </c>
      <c r="I7" s="812"/>
      <c r="J7" s="46">
        <v>5200</v>
      </c>
      <c r="K7" s="51">
        <v>5600</v>
      </c>
      <c r="L7" s="50">
        <f>K7/J7-1</f>
        <v>7.6923076923076872E-2</v>
      </c>
      <c r="M7" s="53"/>
    </row>
    <row r="8" spans="1:17" ht="15.75" thickBot="1" x14ac:dyDescent="0.3">
      <c r="A8" s="39"/>
      <c r="B8" s="39"/>
      <c r="C8" s="39"/>
      <c r="D8" s="39"/>
      <c r="E8" s="39"/>
      <c r="F8" s="39"/>
      <c r="G8" s="341"/>
      <c r="H8" s="851" t="s">
        <v>52</v>
      </c>
      <c r="I8" s="852"/>
      <c r="J8" s="54">
        <v>20.5</v>
      </c>
      <c r="K8" s="55" t="s">
        <v>47</v>
      </c>
      <c r="L8" s="56">
        <v>-1</v>
      </c>
    </row>
    <row r="9" spans="1:17" ht="15.75" thickBot="1" x14ac:dyDescent="0.3">
      <c r="A9" s="792"/>
      <c r="B9" s="792"/>
      <c r="C9" s="792"/>
      <c r="D9" s="792"/>
      <c r="E9" s="792"/>
      <c r="F9" s="792"/>
      <c r="G9" s="792"/>
      <c r="H9" s="792"/>
      <c r="I9" s="792"/>
      <c r="J9" s="57"/>
      <c r="K9" s="57"/>
      <c r="L9" s="57"/>
      <c r="M9" s="57"/>
      <c r="N9" s="57"/>
      <c r="O9" s="39"/>
      <c r="P9" s="39"/>
      <c r="Q9" s="41"/>
    </row>
    <row r="10" spans="1:17" x14ac:dyDescent="0.25">
      <c r="A10" s="793" t="s">
        <v>117</v>
      </c>
      <c r="B10" s="796" t="s">
        <v>118</v>
      </c>
      <c r="C10" s="799" t="s">
        <v>53</v>
      </c>
      <c r="D10" s="800"/>
      <c r="E10" s="800"/>
      <c r="F10" s="800"/>
      <c r="G10" s="801"/>
      <c r="H10" s="843" t="s">
        <v>203</v>
      </c>
      <c r="I10" s="846" t="s">
        <v>217</v>
      </c>
      <c r="J10" s="840" t="s">
        <v>221</v>
      </c>
      <c r="K10" s="829" t="s">
        <v>218</v>
      </c>
      <c r="L10" s="832" t="s">
        <v>219</v>
      </c>
    </row>
    <row r="11" spans="1:17" x14ac:dyDescent="0.25">
      <c r="A11" s="794"/>
      <c r="B11" s="797"/>
      <c r="C11" s="802"/>
      <c r="D11" s="803"/>
      <c r="E11" s="803"/>
      <c r="F11" s="803"/>
      <c r="G11" s="804"/>
      <c r="H11" s="844"/>
      <c r="I11" s="847"/>
      <c r="J11" s="841"/>
      <c r="K11" s="830"/>
      <c r="L11" s="833"/>
    </row>
    <row r="12" spans="1:17" ht="15.75" thickBot="1" x14ac:dyDescent="0.3">
      <c r="A12" s="795"/>
      <c r="B12" s="798"/>
      <c r="C12" s="805"/>
      <c r="D12" s="806"/>
      <c r="E12" s="806"/>
      <c r="F12" s="806"/>
      <c r="G12" s="807"/>
      <c r="H12" s="845"/>
      <c r="I12" s="848"/>
      <c r="J12" s="842"/>
      <c r="K12" s="831"/>
      <c r="L12" s="834"/>
    </row>
    <row r="13" spans="1:17" x14ac:dyDescent="0.25">
      <c r="A13" s="679"/>
      <c r="B13" s="679"/>
      <c r="C13" s="835"/>
      <c r="D13" s="835"/>
      <c r="E13" s="835"/>
      <c r="F13" s="835"/>
      <c r="G13" s="835"/>
      <c r="H13" s="681"/>
      <c r="I13" s="680"/>
      <c r="J13" s="681"/>
      <c r="K13" s="680"/>
      <c r="L13" s="680"/>
    </row>
    <row r="14" spans="1:17" ht="15.75" thickBot="1" x14ac:dyDescent="0.3">
      <c r="A14" s="58"/>
      <c r="B14" s="59"/>
      <c r="C14" s="62" t="s">
        <v>54</v>
      </c>
      <c r="D14" s="39"/>
      <c r="E14" s="39"/>
      <c r="F14" s="39"/>
      <c r="G14" s="657"/>
      <c r="H14" s="682"/>
      <c r="I14" s="683"/>
      <c r="J14" s="682"/>
      <c r="K14" s="61"/>
      <c r="L14" s="684"/>
    </row>
    <row r="15" spans="1:17" x14ac:dyDescent="0.25">
      <c r="A15" s="63" t="s">
        <v>55</v>
      </c>
      <c r="B15" s="64"/>
      <c r="C15" s="836" t="s">
        <v>39</v>
      </c>
      <c r="D15" s="837"/>
      <c r="E15" s="837"/>
      <c r="F15" s="837"/>
      <c r="G15" s="837"/>
      <c r="H15" s="66">
        <v>19930561474</v>
      </c>
      <c r="I15" s="65">
        <f>H15/$H$58</f>
        <v>0.61093450694368545</v>
      </c>
      <c r="J15" s="68">
        <v>20628478318.220001</v>
      </c>
      <c r="K15" s="691">
        <f t="shared" ref="K15:K20" si="0">J15/$J$59</f>
        <v>0.5998183431735632</v>
      </c>
      <c r="L15" s="67">
        <f>J15/H15-1</f>
        <v>3.5017420112847919E-2</v>
      </c>
      <c r="M15" s="11"/>
      <c r="N15" s="649"/>
      <c r="O15" s="340"/>
    </row>
    <row r="16" spans="1:17" x14ac:dyDescent="0.25">
      <c r="A16" s="69" t="s">
        <v>55</v>
      </c>
      <c r="B16" s="70"/>
      <c r="C16" s="838" t="s">
        <v>40</v>
      </c>
      <c r="D16" s="839"/>
      <c r="E16" s="839"/>
      <c r="F16" s="839"/>
      <c r="G16" s="839"/>
      <c r="H16" s="72">
        <v>6286738358</v>
      </c>
      <c r="I16" s="71">
        <f>H16/$H$58</f>
        <v>0.19270833910219246</v>
      </c>
      <c r="J16" s="74">
        <v>6315647265.7799988</v>
      </c>
      <c r="K16" s="687">
        <f t="shared" si="0"/>
        <v>0.18364132441523126</v>
      </c>
      <c r="L16" s="73">
        <f>J16/H16-1</f>
        <v>4.5983952462744782E-3</v>
      </c>
      <c r="M16" s="11"/>
      <c r="N16" s="649"/>
      <c r="O16" s="649"/>
    </row>
    <row r="17" spans="1:16" x14ac:dyDescent="0.25">
      <c r="A17" s="69" t="s">
        <v>55</v>
      </c>
      <c r="B17" s="70"/>
      <c r="C17" s="626" t="s">
        <v>204</v>
      </c>
      <c r="D17" s="627"/>
      <c r="E17" s="627"/>
      <c r="F17" s="627"/>
      <c r="G17" s="627"/>
      <c r="H17" s="72">
        <v>70969475</v>
      </c>
      <c r="I17" s="71">
        <f>H17/$H$58</f>
        <v>2.1754380213391679E-3</v>
      </c>
      <c r="J17" s="74">
        <v>0</v>
      </c>
      <c r="K17" s="687">
        <f t="shared" si="0"/>
        <v>0</v>
      </c>
      <c r="L17" s="73">
        <f>J17/H17-1</f>
        <v>-1</v>
      </c>
      <c r="M17" s="11"/>
      <c r="N17" s="649"/>
      <c r="O17" s="340"/>
    </row>
    <row r="18" spans="1:16" x14ac:dyDescent="0.25">
      <c r="A18" s="69" t="s">
        <v>55</v>
      </c>
      <c r="B18" s="70"/>
      <c r="C18" s="626" t="s">
        <v>1</v>
      </c>
      <c r="D18" s="627"/>
      <c r="E18" s="627"/>
      <c r="F18" s="627"/>
      <c r="G18" s="627"/>
      <c r="H18" s="72">
        <v>730212000</v>
      </c>
      <c r="I18" s="71">
        <f>H18/$H$58</f>
        <v>2.2383298572211736E-2</v>
      </c>
      <c r="J18" s="74">
        <v>1449089500</v>
      </c>
      <c r="K18" s="687">
        <f t="shared" si="0"/>
        <v>4.2135461937223888E-2</v>
      </c>
      <c r="L18" s="73">
        <f>J18/H18-1</f>
        <v>0.98447779548952896</v>
      </c>
      <c r="M18" s="11"/>
      <c r="N18" s="11"/>
    </row>
    <row r="19" spans="1:16" ht="15.75" thickBot="1" x14ac:dyDescent="0.3">
      <c r="A19" s="75" t="s">
        <v>55</v>
      </c>
      <c r="B19" s="76"/>
      <c r="C19" s="342" t="s">
        <v>216</v>
      </c>
      <c r="D19" s="343"/>
      <c r="E19" s="343"/>
      <c r="F19" s="343"/>
      <c r="G19" s="343"/>
      <c r="H19" s="78"/>
      <c r="I19" s="77">
        <f>H19/$H$58</f>
        <v>0</v>
      </c>
      <c r="J19" s="80">
        <v>821986582</v>
      </c>
      <c r="K19" s="102">
        <f t="shared" si="0"/>
        <v>2.390106638600981E-2</v>
      </c>
      <c r="L19" s="79">
        <v>1</v>
      </c>
      <c r="M19" s="11"/>
      <c r="N19" s="11"/>
    </row>
    <row r="20" spans="1:16" ht="15.75" thickBot="1" x14ac:dyDescent="0.3">
      <c r="A20" s="81"/>
      <c r="B20" s="82"/>
      <c r="C20" s="822" t="s">
        <v>56</v>
      </c>
      <c r="D20" s="823"/>
      <c r="E20" s="823"/>
      <c r="F20" s="823"/>
      <c r="G20" s="823"/>
      <c r="H20" s="84">
        <f>SUM(H15:H19)</f>
        <v>27018481307</v>
      </c>
      <c r="I20" s="83">
        <f>H20/$H$59</f>
        <v>0.82820158263942878</v>
      </c>
      <c r="J20" s="86">
        <f>SUM(J15:J19)</f>
        <v>29215201666</v>
      </c>
      <c r="K20" s="83">
        <f t="shared" si="0"/>
        <v>0.84949619591202807</v>
      </c>
      <c r="L20" s="85">
        <f>J20/H20-1</f>
        <v>8.1304361042338513E-2</v>
      </c>
      <c r="M20" s="11"/>
      <c r="N20" s="11"/>
    </row>
    <row r="21" spans="1:16" x14ac:dyDescent="0.25">
      <c r="A21" s="58"/>
      <c r="B21" s="59"/>
      <c r="C21" s="60"/>
      <c r="D21" s="39"/>
      <c r="E21" s="39"/>
      <c r="F21" s="39"/>
      <c r="G21" s="39"/>
      <c r="H21" s="658"/>
      <c r="I21" s="660"/>
      <c r="J21" s="658"/>
      <c r="K21" s="87"/>
      <c r="L21" s="88"/>
      <c r="M21" s="11"/>
    </row>
    <row r="22" spans="1:16" ht="15.75" thickBot="1" x14ac:dyDescent="0.3">
      <c r="A22" s="58"/>
      <c r="B22" s="59"/>
      <c r="C22" s="60" t="s">
        <v>57</v>
      </c>
      <c r="D22" s="39"/>
      <c r="E22" s="39"/>
      <c r="F22" s="39"/>
      <c r="G22" s="657"/>
      <c r="H22" s="659"/>
      <c r="I22" s="661"/>
      <c r="J22" s="659"/>
      <c r="K22" s="89"/>
      <c r="L22" s="90"/>
      <c r="M22" s="11"/>
    </row>
    <row r="23" spans="1:16" x14ac:dyDescent="0.25">
      <c r="A23" s="63" t="s">
        <v>55</v>
      </c>
      <c r="B23" s="64"/>
      <c r="C23" s="816" t="s">
        <v>58</v>
      </c>
      <c r="D23" s="817"/>
      <c r="E23" s="817"/>
      <c r="F23" s="817"/>
      <c r="G23" s="817"/>
      <c r="H23" s="92">
        <v>1913746500</v>
      </c>
      <c r="I23" s="691">
        <f>H23/$H$58</f>
        <v>5.8662360110522983E-2</v>
      </c>
      <c r="J23" s="94">
        <v>2105121150</v>
      </c>
      <c r="K23" s="691">
        <f t="shared" ref="K23:K29" si="1">J23/$J$59</f>
        <v>6.1211023949224654E-2</v>
      </c>
      <c r="L23" s="93">
        <f t="shared" ref="L23:L29" si="2">J23/H23-1</f>
        <v>0.10000000000000009</v>
      </c>
      <c r="M23" s="11"/>
      <c r="N23" s="11"/>
    </row>
    <row r="24" spans="1:16" x14ac:dyDescent="0.25">
      <c r="A24" s="136"/>
      <c r="B24" s="117" t="s">
        <v>59</v>
      </c>
      <c r="C24" s="705" t="s">
        <v>60</v>
      </c>
      <c r="D24" s="706"/>
      <c r="E24" s="706"/>
      <c r="F24" s="706"/>
      <c r="G24" s="706"/>
      <c r="H24" s="98">
        <v>115245402</v>
      </c>
      <c r="I24" s="97"/>
      <c r="J24" s="100">
        <v>0</v>
      </c>
      <c r="K24" s="97">
        <f t="shared" si="1"/>
        <v>0</v>
      </c>
      <c r="L24" s="707">
        <f t="shared" si="2"/>
        <v>-1</v>
      </c>
      <c r="M24" s="11"/>
      <c r="N24" s="11"/>
    </row>
    <row r="25" spans="1:16" x14ac:dyDescent="0.25">
      <c r="A25" s="95" t="s">
        <v>55</v>
      </c>
      <c r="B25" s="96"/>
      <c r="C25" s="818" t="s">
        <v>61</v>
      </c>
      <c r="D25" s="819"/>
      <c r="E25" s="819"/>
      <c r="F25" s="819"/>
      <c r="G25" s="819"/>
      <c r="H25" s="98">
        <v>27360000</v>
      </c>
      <c r="I25" s="97">
        <f>H25/$H$58</f>
        <v>8.386702066464439E-4</v>
      </c>
      <c r="J25" s="100">
        <v>30000000</v>
      </c>
      <c r="K25" s="97">
        <f t="shared" si="1"/>
        <v>8.7231593225726674E-4</v>
      </c>
      <c r="L25" s="99">
        <f t="shared" si="2"/>
        <v>9.6491228070175517E-2</v>
      </c>
      <c r="M25" s="11"/>
      <c r="N25" s="11"/>
    </row>
    <row r="26" spans="1:16" x14ac:dyDescent="0.25">
      <c r="A26" s="95"/>
      <c r="B26" s="96" t="s">
        <v>59</v>
      </c>
      <c r="C26" s="818" t="s">
        <v>127</v>
      </c>
      <c r="D26" s="819"/>
      <c r="E26" s="819"/>
      <c r="F26" s="819"/>
      <c r="G26" s="819"/>
      <c r="H26" s="98">
        <v>2280000</v>
      </c>
      <c r="I26" s="97">
        <f>H26/$H$58</f>
        <v>6.9889183887203663E-5</v>
      </c>
      <c r="J26" s="100">
        <v>2280000</v>
      </c>
      <c r="K26" s="97">
        <f t="shared" si="1"/>
        <v>6.6296010851552272E-5</v>
      </c>
      <c r="L26" s="99">
        <f t="shared" si="2"/>
        <v>0</v>
      </c>
      <c r="M26" s="11"/>
      <c r="N26" s="11"/>
    </row>
    <row r="27" spans="1:16" x14ac:dyDescent="0.25">
      <c r="A27" s="95" t="s">
        <v>55</v>
      </c>
      <c r="B27" s="96"/>
      <c r="C27" s="818" t="s">
        <v>62</v>
      </c>
      <c r="D27" s="819"/>
      <c r="E27" s="819"/>
      <c r="F27" s="819"/>
      <c r="G27" s="819"/>
      <c r="H27" s="98">
        <v>887192850</v>
      </c>
      <c r="I27" s="97">
        <f>H27/$H$58</f>
        <v>2.7195256244325568E-2</v>
      </c>
      <c r="J27" s="100">
        <v>929603250</v>
      </c>
      <c r="K27" s="97">
        <f t="shared" si="1"/>
        <v>2.7030257521771166E-2</v>
      </c>
      <c r="L27" s="99">
        <f t="shared" si="2"/>
        <v>4.780291004374071E-2</v>
      </c>
      <c r="M27" s="11"/>
      <c r="N27" s="11"/>
      <c r="P27" s="11"/>
    </row>
    <row r="28" spans="1:16" ht="15.75" thickBot="1" x14ac:dyDescent="0.3">
      <c r="A28" s="75"/>
      <c r="B28" s="101" t="s">
        <v>59</v>
      </c>
      <c r="C28" s="820" t="s">
        <v>126</v>
      </c>
      <c r="D28" s="821"/>
      <c r="E28" s="821"/>
      <c r="F28" s="821"/>
      <c r="G28" s="821"/>
      <c r="H28" s="103">
        <v>28500000</v>
      </c>
      <c r="I28" s="102">
        <f>H28/$H$58</f>
        <v>8.7361479859004575E-4</v>
      </c>
      <c r="J28" s="105">
        <v>28500000</v>
      </c>
      <c r="K28" s="102">
        <f t="shared" si="1"/>
        <v>8.287001356444034E-4</v>
      </c>
      <c r="L28" s="104">
        <f t="shared" si="2"/>
        <v>0</v>
      </c>
      <c r="M28" s="11"/>
      <c r="N28" s="11"/>
    </row>
    <row r="29" spans="1:16" ht="15.75" thickBot="1" x14ac:dyDescent="0.3">
      <c r="A29" s="81"/>
      <c r="B29" s="82"/>
      <c r="C29" s="822" t="s">
        <v>63</v>
      </c>
      <c r="D29" s="823"/>
      <c r="E29" s="823"/>
      <c r="F29" s="823"/>
      <c r="G29" s="823"/>
      <c r="H29" s="84">
        <f>SUM(H23:H28)</f>
        <v>2974324752</v>
      </c>
      <c r="I29" s="83">
        <f>H29/$H$59</f>
        <v>9.1172425233679577E-2</v>
      </c>
      <c r="J29" s="86">
        <f>SUM(J23:J28)</f>
        <v>3095504400</v>
      </c>
      <c r="K29" s="83">
        <f t="shared" si="1"/>
        <v>9.0008593549749036E-2</v>
      </c>
      <c r="L29" s="85">
        <f t="shared" si="2"/>
        <v>4.0741902147207076E-2</v>
      </c>
      <c r="M29" s="11"/>
      <c r="N29" s="11"/>
    </row>
    <row r="30" spans="1:16" x14ac:dyDescent="0.25">
      <c r="A30" s="58"/>
      <c r="B30" s="59"/>
      <c r="C30" s="60"/>
      <c r="D30" s="39"/>
      <c r="E30" s="39"/>
      <c r="F30" s="39"/>
      <c r="G30" s="662"/>
      <c r="H30" s="658"/>
      <c r="I30" s="660"/>
      <c r="J30" s="658"/>
      <c r="K30" s="87"/>
      <c r="L30" s="90"/>
      <c r="M30" s="11"/>
    </row>
    <row r="31" spans="1:16" ht="15.75" thickBot="1" x14ac:dyDescent="0.3">
      <c r="A31" s="58"/>
      <c r="B31" s="59"/>
      <c r="C31" s="62" t="s">
        <v>64</v>
      </c>
      <c r="D31" s="39"/>
      <c r="E31" s="39"/>
      <c r="F31" s="39"/>
      <c r="G31" s="39"/>
      <c r="H31" s="669"/>
      <c r="I31" s="670"/>
      <c r="J31" s="669"/>
      <c r="K31" s="89"/>
      <c r="L31" s="90"/>
      <c r="M31" s="11"/>
    </row>
    <row r="32" spans="1:16" x14ac:dyDescent="0.25">
      <c r="A32" s="671" t="s">
        <v>55</v>
      </c>
      <c r="B32" s="672"/>
      <c r="C32" s="816" t="s">
        <v>65</v>
      </c>
      <c r="D32" s="817"/>
      <c r="E32" s="817"/>
      <c r="F32" s="817"/>
      <c r="G32" s="817"/>
      <c r="H32" s="673">
        <f>H33+H34+H35+H36</f>
        <v>1399232643</v>
      </c>
      <c r="I32" s="91">
        <f>H32/$H$58</f>
        <v>4.2890889248949557E-2</v>
      </c>
      <c r="J32" s="674">
        <f>J33+J34+J35+J36</f>
        <v>1405000000</v>
      </c>
      <c r="K32" s="91">
        <f t="shared" ref="K32:K37" si="3">J32/$J$59</f>
        <v>4.0853462827381996E-2</v>
      </c>
      <c r="L32" s="675">
        <f>J32/H32-1</f>
        <v>4.121799922873759E-3</v>
      </c>
      <c r="M32" s="11"/>
    </row>
    <row r="33" spans="1:14" x14ac:dyDescent="0.25">
      <c r="A33" s="95" t="s">
        <v>55</v>
      </c>
      <c r="B33" s="96"/>
      <c r="C33" s="106" t="s">
        <v>119</v>
      </c>
      <c r="D33" s="119" t="s">
        <v>214</v>
      </c>
      <c r="E33" s="59"/>
      <c r="F33" s="59"/>
      <c r="G33" s="59"/>
      <c r="H33" s="109">
        <v>1239232643</v>
      </c>
      <c r="I33" s="97">
        <f>H33/$H$58</f>
        <v>3.7986385116514212E-2</v>
      </c>
      <c r="J33" s="110">
        <v>1395000000</v>
      </c>
      <c r="K33" s="97">
        <f t="shared" si="3"/>
        <v>4.0562690849962904E-2</v>
      </c>
      <c r="L33" s="107">
        <f>J33/H33-1</f>
        <v>0.12569662192153852</v>
      </c>
      <c r="M33" s="11"/>
    </row>
    <row r="34" spans="1:14" x14ac:dyDescent="0.25">
      <c r="A34" s="95" t="s">
        <v>55</v>
      </c>
      <c r="B34" s="96"/>
      <c r="C34" s="111"/>
      <c r="D34" s="113" t="s">
        <v>211</v>
      </c>
      <c r="E34" s="113"/>
      <c r="F34" s="113"/>
      <c r="G34" s="114"/>
      <c r="H34" s="115">
        <v>130000000</v>
      </c>
      <c r="I34" s="97">
        <f>H34/$H$58</f>
        <v>3.9849096076037174E-3</v>
      </c>
      <c r="J34" s="116">
        <v>0</v>
      </c>
      <c r="K34" s="97">
        <f t="shared" si="3"/>
        <v>0</v>
      </c>
      <c r="L34" s="107">
        <f>J34/H34-1</f>
        <v>-1</v>
      </c>
      <c r="M34" s="11"/>
      <c r="N34" s="11"/>
    </row>
    <row r="35" spans="1:14" x14ac:dyDescent="0.25">
      <c r="A35" s="95" t="s">
        <v>55</v>
      </c>
      <c r="B35" s="96"/>
      <c r="C35" s="111"/>
      <c r="D35" s="113" t="s">
        <v>201</v>
      </c>
      <c r="E35" s="113"/>
      <c r="F35" s="113"/>
      <c r="G35" s="114"/>
      <c r="H35" s="115">
        <v>30000000</v>
      </c>
      <c r="I35" s="97"/>
      <c r="J35" s="116">
        <v>0</v>
      </c>
      <c r="K35" s="97">
        <f t="shared" si="3"/>
        <v>0</v>
      </c>
      <c r="L35" s="107">
        <f>J35/H35-1</f>
        <v>-1</v>
      </c>
      <c r="M35" s="11"/>
      <c r="N35" s="11"/>
    </row>
    <row r="36" spans="1:14" ht="15.75" thickBot="1" x14ac:dyDescent="0.3">
      <c r="A36" s="69" t="s">
        <v>55</v>
      </c>
      <c r="B36" s="106"/>
      <c r="C36" s="111"/>
      <c r="D36" s="685" t="s">
        <v>215</v>
      </c>
      <c r="E36" s="685"/>
      <c r="F36" s="685"/>
      <c r="G36" s="685"/>
      <c r="H36" s="686"/>
      <c r="I36" s="687"/>
      <c r="J36" s="688">
        <v>10000000</v>
      </c>
      <c r="K36" s="687">
        <f t="shared" si="3"/>
        <v>2.9077197741908891E-4</v>
      </c>
      <c r="L36" s="73">
        <v>1</v>
      </c>
      <c r="M36" s="11"/>
      <c r="N36" s="11"/>
    </row>
    <row r="37" spans="1:14" ht="15.75" thickBot="1" x14ac:dyDescent="0.3">
      <c r="A37" s="144"/>
      <c r="B37" s="689"/>
      <c r="C37" s="822" t="s">
        <v>66</v>
      </c>
      <c r="D37" s="823"/>
      <c r="E37" s="823"/>
      <c r="F37" s="823"/>
      <c r="G37" s="823"/>
      <c r="H37" s="149">
        <f>SUM(H32)</f>
        <v>1399232643</v>
      </c>
      <c r="I37" s="148">
        <f>H37/$H$59</f>
        <v>4.2890889248949557E-2</v>
      </c>
      <c r="J37" s="690">
        <f>SUM(J32)</f>
        <v>1405000000</v>
      </c>
      <c r="K37" s="148">
        <f t="shared" si="3"/>
        <v>4.0853462827381996E-2</v>
      </c>
      <c r="L37" s="150">
        <f>J37/H37-1</f>
        <v>4.121799922873759E-3</v>
      </c>
      <c r="M37" s="11"/>
      <c r="N37" s="11"/>
    </row>
    <row r="38" spans="1:14" x14ac:dyDescent="0.25">
      <c r="A38" s="58"/>
      <c r="B38" s="59"/>
      <c r="C38" s="60"/>
      <c r="D38" s="39"/>
      <c r="E38" s="39"/>
      <c r="F38" s="39"/>
      <c r="G38" s="662"/>
      <c r="H38" s="658"/>
      <c r="I38" s="660"/>
      <c r="J38" s="658"/>
      <c r="K38" s="87"/>
      <c r="L38" s="90"/>
      <c r="M38" s="11"/>
    </row>
    <row r="39" spans="1:14" ht="15.75" thickBot="1" x14ac:dyDescent="0.3">
      <c r="A39" s="118"/>
      <c r="B39" s="119"/>
      <c r="C39" s="62" t="s">
        <v>67</v>
      </c>
      <c r="D39" s="39"/>
      <c r="E39" s="39"/>
      <c r="F39" s="39"/>
      <c r="G39" s="657"/>
      <c r="H39" s="659"/>
      <c r="I39" s="661"/>
      <c r="J39" s="659"/>
      <c r="K39" s="89"/>
      <c r="L39" s="90"/>
      <c r="M39" s="11"/>
    </row>
    <row r="40" spans="1:14" ht="15.75" thickBot="1" x14ac:dyDescent="0.3">
      <c r="A40" s="120" t="s">
        <v>55</v>
      </c>
      <c r="B40" s="121"/>
      <c r="C40" s="122" t="s">
        <v>68</v>
      </c>
      <c r="D40" s="123"/>
      <c r="E40" s="123"/>
      <c r="F40" s="123"/>
      <c r="G40" s="123"/>
      <c r="H40" s="125">
        <f>SUM(H41:H42)</f>
        <v>48367000</v>
      </c>
      <c r="I40" s="124">
        <f t="shared" ref="I40:I45" si="4">H40/$H$58</f>
        <v>1.482600946084377E-3</v>
      </c>
      <c r="J40" s="127">
        <f>SUM(J41:J42)</f>
        <v>43667000</v>
      </c>
      <c r="K40" s="124">
        <f t="shared" ref="K40:K46" si="5">J40/$J$59</f>
        <v>1.2697139937959355E-3</v>
      </c>
      <c r="L40" s="126">
        <f t="shared" ref="L40:L46" si="6">J40/H40-1</f>
        <v>-9.7173692807079215E-2</v>
      </c>
      <c r="M40" s="11"/>
    </row>
    <row r="41" spans="1:14" x14ac:dyDescent="0.25">
      <c r="A41" s="128" t="s">
        <v>55</v>
      </c>
      <c r="B41" s="129"/>
      <c r="C41" s="824" t="s">
        <v>119</v>
      </c>
      <c r="D41" s="112" t="s">
        <v>69</v>
      </c>
      <c r="E41" s="113"/>
      <c r="F41" s="113"/>
      <c r="G41" s="114"/>
      <c r="H41" s="98">
        <v>11667000</v>
      </c>
      <c r="I41" s="97">
        <f t="shared" si="4"/>
        <v>3.5763031070701979E-4</v>
      </c>
      <c r="J41" s="100">
        <v>11667000</v>
      </c>
      <c r="K41" s="97">
        <f t="shared" si="5"/>
        <v>3.3924366605485106E-4</v>
      </c>
      <c r="L41" s="107">
        <f t="shared" si="6"/>
        <v>0</v>
      </c>
      <c r="M41" s="11"/>
    </row>
    <row r="42" spans="1:14" ht="15.75" thickBot="1" x14ac:dyDescent="0.3">
      <c r="A42" s="130" t="s">
        <v>55</v>
      </c>
      <c r="B42" s="129"/>
      <c r="C42" s="825"/>
      <c r="D42" s="129" t="s">
        <v>70</v>
      </c>
      <c r="E42" s="131"/>
      <c r="F42" s="131"/>
      <c r="G42" s="132"/>
      <c r="H42" s="98">
        <v>36700000</v>
      </c>
      <c r="I42" s="97">
        <f t="shared" si="4"/>
        <v>1.1249706353773572E-3</v>
      </c>
      <c r="J42" s="100">
        <v>32000000</v>
      </c>
      <c r="K42" s="97">
        <f t="shared" si="5"/>
        <v>9.3047032774108457E-4</v>
      </c>
      <c r="L42" s="107">
        <f t="shared" si="6"/>
        <v>-0.12806539509536785</v>
      </c>
      <c r="M42" s="11"/>
    </row>
    <row r="43" spans="1:14" ht="15.75" thickBot="1" x14ac:dyDescent="0.3">
      <c r="A43" s="323"/>
      <c r="B43" s="133"/>
      <c r="C43" s="122" t="s">
        <v>71</v>
      </c>
      <c r="D43" s="123"/>
      <c r="E43" s="123"/>
      <c r="F43" s="123"/>
      <c r="G43" s="123"/>
      <c r="H43" s="134">
        <f>SUM(H44:H48)</f>
        <v>782388044</v>
      </c>
      <c r="I43" s="124">
        <f t="shared" si="4"/>
        <v>2.3982658718537539E-2</v>
      </c>
      <c r="J43" s="135">
        <f>SUM(J44:J48)</f>
        <v>140000000</v>
      </c>
      <c r="K43" s="124">
        <f t="shared" si="5"/>
        <v>4.070807683867245E-3</v>
      </c>
      <c r="L43" s="126">
        <f t="shared" si="6"/>
        <v>-0.82106066027767677</v>
      </c>
      <c r="M43" s="11"/>
    </row>
    <row r="44" spans="1:14" x14ac:dyDescent="0.25">
      <c r="A44" s="136" t="s">
        <v>55</v>
      </c>
      <c r="B44" s="108"/>
      <c r="C44" s="826"/>
      <c r="D44" s="108" t="s">
        <v>195</v>
      </c>
      <c r="E44" s="137"/>
      <c r="F44" s="137"/>
      <c r="G44" s="137"/>
      <c r="H44" s="98">
        <v>200000000</v>
      </c>
      <c r="I44" s="140">
        <f t="shared" si="4"/>
        <v>6.1306301655441806E-3</v>
      </c>
      <c r="J44" s="100">
        <v>100000000</v>
      </c>
      <c r="K44" s="140">
        <f t="shared" si="5"/>
        <v>2.9077197741908894E-3</v>
      </c>
      <c r="L44" s="107">
        <f t="shared" si="6"/>
        <v>-0.5</v>
      </c>
      <c r="M44" s="11"/>
      <c r="N44" s="11"/>
    </row>
    <row r="45" spans="1:14" x14ac:dyDescent="0.25">
      <c r="A45" s="136" t="s">
        <v>225</v>
      </c>
      <c r="B45" s="108"/>
      <c r="C45" s="826"/>
      <c r="D45" s="112" t="s">
        <v>205</v>
      </c>
      <c r="E45" s="131"/>
      <c r="F45" s="131"/>
      <c r="G45" s="131"/>
      <c r="H45" s="98">
        <v>200000000</v>
      </c>
      <c r="I45" s="140">
        <f t="shared" si="4"/>
        <v>6.1306301655441806E-3</v>
      </c>
      <c r="J45" s="100">
        <v>0</v>
      </c>
      <c r="K45" s="140">
        <f t="shared" si="5"/>
        <v>0</v>
      </c>
      <c r="L45" s="107">
        <f t="shared" si="6"/>
        <v>-1</v>
      </c>
      <c r="M45" s="11"/>
      <c r="N45" s="11"/>
    </row>
    <row r="46" spans="1:14" x14ac:dyDescent="0.25">
      <c r="A46" s="118" t="s">
        <v>55</v>
      </c>
      <c r="B46" s="108"/>
      <c r="C46" s="826"/>
      <c r="D46" s="112" t="s">
        <v>206</v>
      </c>
      <c r="E46" s="131"/>
      <c r="F46" s="143"/>
      <c r="G46" s="143"/>
      <c r="H46" s="141">
        <v>260000000</v>
      </c>
      <c r="I46" s="140">
        <f t="shared" ref="I46:I51" si="7">H46/$H$58</f>
        <v>7.9698192152074347E-3</v>
      </c>
      <c r="J46" s="142">
        <v>0</v>
      </c>
      <c r="K46" s="140">
        <f t="shared" si="5"/>
        <v>0</v>
      </c>
      <c r="L46" s="107">
        <f t="shared" si="6"/>
        <v>-1</v>
      </c>
      <c r="M46" s="11"/>
      <c r="N46" s="11"/>
    </row>
    <row r="47" spans="1:14" x14ac:dyDescent="0.25">
      <c r="A47" s="118" t="s">
        <v>55</v>
      </c>
      <c r="B47" s="108"/>
      <c r="C47" s="826"/>
      <c r="D47" s="112" t="s">
        <v>222</v>
      </c>
      <c r="E47" s="143"/>
      <c r="F47" s="143"/>
      <c r="G47" s="143"/>
      <c r="H47" s="141">
        <v>20000000</v>
      </c>
      <c r="I47" s="140">
        <f t="shared" si="7"/>
        <v>6.1306301655441806E-4</v>
      </c>
      <c r="J47" s="142">
        <v>0</v>
      </c>
      <c r="K47" s="140">
        <f>J47/$J$59</f>
        <v>0</v>
      </c>
      <c r="L47" s="107">
        <f t="shared" ref="L47:L55" si="8">J47/H47-1</f>
        <v>-1</v>
      </c>
      <c r="M47" s="11"/>
      <c r="N47" s="11"/>
    </row>
    <row r="48" spans="1:14" ht="15.75" thickBot="1" x14ac:dyDescent="0.3">
      <c r="A48" s="58" t="s">
        <v>55</v>
      </c>
      <c r="B48" s="676"/>
      <c r="C48" s="826"/>
      <c r="D48" s="677" t="s">
        <v>74</v>
      </c>
      <c r="E48" s="143"/>
      <c r="F48" s="143"/>
      <c r="G48" s="143"/>
      <c r="H48" s="697">
        <v>102388044</v>
      </c>
      <c r="I48" s="698">
        <f t="shared" si="7"/>
        <v>3.1385161556873242E-3</v>
      </c>
      <c r="J48" s="481">
        <v>40000000</v>
      </c>
      <c r="K48" s="698">
        <f>J48/$J$59</f>
        <v>1.1630879096763557E-3</v>
      </c>
      <c r="L48" s="73">
        <f t="shared" si="8"/>
        <v>-0.60932938615371923</v>
      </c>
      <c r="M48" s="11"/>
      <c r="N48" s="11"/>
    </row>
    <row r="49" spans="1:15" x14ac:dyDescent="0.25">
      <c r="A49" s="699" t="s">
        <v>55</v>
      </c>
      <c r="B49" s="692"/>
      <c r="C49" s="692" t="s">
        <v>131</v>
      </c>
      <c r="D49" s="700"/>
      <c r="E49" s="728"/>
      <c r="F49" s="728"/>
      <c r="G49" s="729"/>
      <c r="H49" s="673">
        <v>200000000</v>
      </c>
      <c r="I49" s="693">
        <f t="shared" si="7"/>
        <v>6.1306301655441806E-3</v>
      </c>
      <c r="J49" s="674">
        <v>200000000</v>
      </c>
      <c r="K49" s="693">
        <f>J49/$J$59</f>
        <v>5.8154395483817787E-3</v>
      </c>
      <c r="L49" s="675">
        <f t="shared" si="8"/>
        <v>0</v>
      </c>
      <c r="M49" s="11"/>
      <c r="N49" s="11"/>
    </row>
    <row r="50" spans="1:15" x14ac:dyDescent="0.25">
      <c r="A50" s="118" t="s">
        <v>55</v>
      </c>
      <c r="B50" s="108"/>
      <c r="C50" s="108" t="s">
        <v>72</v>
      </c>
      <c r="D50" s="119"/>
      <c r="E50" s="137"/>
      <c r="F50" s="137"/>
      <c r="G50" s="727"/>
      <c r="H50" s="141">
        <v>123462000</v>
      </c>
      <c r="I50" s="138">
        <f t="shared" si="7"/>
        <v>3.7844993074920784E-3</v>
      </c>
      <c r="J50" s="142">
        <v>123462000</v>
      </c>
      <c r="K50" s="698">
        <f>J50/$J$59</f>
        <v>3.5899289876115555E-3</v>
      </c>
      <c r="L50" s="139">
        <f t="shared" si="8"/>
        <v>0</v>
      </c>
      <c r="M50" s="11"/>
      <c r="N50" s="11"/>
    </row>
    <row r="51" spans="1:15" x14ac:dyDescent="0.25">
      <c r="A51" s="118" t="s">
        <v>55</v>
      </c>
      <c r="B51" s="108"/>
      <c r="C51" s="108" t="s">
        <v>73</v>
      </c>
      <c r="D51" s="113"/>
      <c r="E51" s="131"/>
      <c r="F51" s="131"/>
      <c r="G51" s="730"/>
      <c r="H51" s="141">
        <v>25000000</v>
      </c>
      <c r="I51" s="138">
        <f t="shared" si="7"/>
        <v>7.6632877069302257E-4</v>
      </c>
      <c r="J51" s="142">
        <v>25000000</v>
      </c>
      <c r="K51" s="698">
        <f>J51/$J$59</f>
        <v>7.2692994354772234E-4</v>
      </c>
      <c r="L51" s="139">
        <f t="shared" si="8"/>
        <v>0</v>
      </c>
      <c r="M51" s="11"/>
      <c r="N51" s="11"/>
    </row>
    <row r="52" spans="1:15" x14ac:dyDescent="0.25">
      <c r="A52" s="118" t="s">
        <v>55</v>
      </c>
      <c r="B52" s="108"/>
      <c r="C52" s="108" t="s">
        <v>207</v>
      </c>
      <c r="D52" s="119"/>
      <c r="E52" s="726"/>
      <c r="F52" s="726"/>
      <c r="G52" s="726"/>
      <c r="H52" s="141">
        <v>6800000</v>
      </c>
      <c r="I52" s="138"/>
      <c r="J52" s="142">
        <v>6800000</v>
      </c>
      <c r="K52" s="698"/>
      <c r="L52" s="139"/>
      <c r="M52" s="11"/>
      <c r="N52" s="11"/>
    </row>
    <row r="53" spans="1:15" x14ac:dyDescent="0.25">
      <c r="A53" s="136"/>
      <c r="B53" s="108" t="s">
        <v>59</v>
      </c>
      <c r="C53" s="112" t="s">
        <v>223</v>
      </c>
      <c r="D53" s="113"/>
      <c r="E53" s="131"/>
      <c r="F53" s="131"/>
      <c r="G53" s="143"/>
      <c r="H53" s="141">
        <v>18259000</v>
      </c>
      <c r="I53" s="140">
        <f>H53/$H$58</f>
        <v>5.59695880963356E-4</v>
      </c>
      <c r="J53" s="142">
        <v>44800000</v>
      </c>
      <c r="K53" s="140">
        <f t="shared" ref="K53:K59" si="9">J53/$J$59</f>
        <v>1.3026584588375185E-3</v>
      </c>
      <c r="L53" s="107">
        <f t="shared" si="8"/>
        <v>1.4535845336546362</v>
      </c>
      <c r="M53" s="11"/>
      <c r="N53" s="11"/>
      <c r="O53" s="11"/>
    </row>
    <row r="54" spans="1:15" x14ac:dyDescent="0.25">
      <c r="A54" s="136"/>
      <c r="B54" s="108"/>
      <c r="C54" s="112" t="s">
        <v>125</v>
      </c>
      <c r="D54" s="113"/>
      <c r="E54" s="143"/>
      <c r="F54" s="143"/>
      <c r="G54" s="143"/>
      <c r="H54" s="141">
        <v>22800000</v>
      </c>
      <c r="I54" s="138">
        <f>H54/$H$58</f>
        <v>6.988918388720366E-4</v>
      </c>
      <c r="J54" s="142">
        <v>22800000</v>
      </c>
      <c r="K54" s="138">
        <f t="shared" si="9"/>
        <v>6.6296010851552272E-4</v>
      </c>
      <c r="L54" s="107">
        <f t="shared" si="8"/>
        <v>0</v>
      </c>
      <c r="M54" s="11"/>
      <c r="N54" s="11"/>
      <c r="O54" s="11"/>
    </row>
    <row r="55" spans="1:15" x14ac:dyDescent="0.25">
      <c r="A55" s="136" t="s">
        <v>225</v>
      </c>
      <c r="B55" s="108"/>
      <c r="C55" s="112" t="s">
        <v>213</v>
      </c>
      <c r="D55" s="113"/>
      <c r="E55" s="143"/>
      <c r="F55" s="143"/>
      <c r="G55" s="143"/>
      <c r="H55" s="141">
        <v>3959000</v>
      </c>
      <c r="I55" s="138">
        <f>H55/$H$58</f>
        <v>1.2135582412694706E-4</v>
      </c>
      <c r="J55" s="142">
        <v>0</v>
      </c>
      <c r="K55" s="138">
        <f t="shared" si="9"/>
        <v>0</v>
      </c>
      <c r="L55" s="107">
        <f t="shared" si="8"/>
        <v>-1</v>
      </c>
      <c r="M55" s="11"/>
      <c r="N55" s="11"/>
      <c r="O55" s="11"/>
    </row>
    <row r="56" spans="1:15" ht="15.75" thickBot="1" x14ac:dyDescent="0.3">
      <c r="A56" s="678" t="s">
        <v>225</v>
      </c>
      <c r="B56" s="694"/>
      <c r="C56" s="701" t="s">
        <v>224</v>
      </c>
      <c r="D56" s="702"/>
      <c r="E56" s="703"/>
      <c r="F56" s="703"/>
      <c r="G56" s="703"/>
      <c r="H56" s="695"/>
      <c r="I56" s="704">
        <f>H56/$H$58</f>
        <v>0</v>
      </c>
      <c r="J56" s="696">
        <v>68974461</v>
      </c>
      <c r="K56" s="704">
        <f t="shared" si="9"/>
        <v>2.0055840416385831E-3</v>
      </c>
      <c r="L56" s="79">
        <v>1</v>
      </c>
      <c r="M56" s="11"/>
      <c r="N56" s="11"/>
      <c r="O56" s="11"/>
    </row>
    <row r="57" spans="1:15" ht="15.75" thickBot="1" x14ac:dyDescent="0.3">
      <c r="A57" s="144"/>
      <c r="B57" s="145"/>
      <c r="C57" s="146" t="s">
        <v>75</v>
      </c>
      <c r="D57" s="147"/>
      <c r="E57" s="147"/>
      <c r="F57" s="147"/>
      <c r="G57" s="664"/>
      <c r="H57" s="663">
        <f>H40+H43+H49+H53+H54+H55+H56+H50+H51+H52</f>
        <v>1231035044</v>
      </c>
      <c r="I57" s="148">
        <f>H57/$H$59</f>
        <v>3.7735102877942038E-2</v>
      </c>
      <c r="J57" s="489">
        <f>J40+J43+J49+J53+J54+J55+J56+J50+J51+J52</f>
        <v>675503461</v>
      </c>
      <c r="K57" s="148">
        <f t="shared" si="9"/>
        <v>1.9641747710840842E-2</v>
      </c>
      <c r="L57" s="150">
        <f>J57/H57-1</f>
        <v>-0.45127194851814467</v>
      </c>
      <c r="M57" s="11"/>
      <c r="N57" s="11"/>
      <c r="O57" s="11"/>
    </row>
    <row r="58" spans="1:15" ht="9.75" customHeight="1" thickBot="1" x14ac:dyDescent="0.3">
      <c r="A58" s="151"/>
      <c r="B58" s="152"/>
      <c r="C58" s="153"/>
      <c r="D58" s="153"/>
      <c r="E58" s="153"/>
      <c r="F58" s="153"/>
      <c r="G58" s="665"/>
      <c r="H58" s="666">
        <f>H59</f>
        <v>32623073746</v>
      </c>
      <c r="I58" s="667"/>
      <c r="J58" s="668"/>
      <c r="K58" s="154">
        <f t="shared" si="9"/>
        <v>0</v>
      </c>
      <c r="L58" s="155"/>
      <c r="M58" s="11"/>
    </row>
    <row r="59" spans="1:15" ht="16.5" thickBot="1" x14ac:dyDescent="0.3">
      <c r="A59" s="324"/>
      <c r="B59" s="325"/>
      <c r="C59" s="326" t="s">
        <v>120</v>
      </c>
      <c r="D59" s="327"/>
      <c r="E59" s="327"/>
      <c r="F59" s="327"/>
      <c r="G59" s="328"/>
      <c r="H59" s="329">
        <f>+H20+H29+H37+H57</f>
        <v>32623073746</v>
      </c>
      <c r="I59" s="148">
        <f>H59/$H$59</f>
        <v>1</v>
      </c>
      <c r="J59" s="330">
        <f>+J20+J29+J37+J57</f>
        <v>34391209527</v>
      </c>
      <c r="K59" s="148">
        <f t="shared" si="9"/>
        <v>1</v>
      </c>
      <c r="L59" s="150">
        <f>J59/H59-1</f>
        <v>5.4198932778882991E-2</v>
      </c>
      <c r="M59" s="11"/>
      <c r="N59" s="340"/>
    </row>
    <row r="60" spans="1:15" ht="15.75" thickBot="1" x14ac:dyDescent="0.3">
      <c r="H60" s="11"/>
      <c r="M60" s="11"/>
    </row>
    <row r="61" spans="1:15" ht="15.75" x14ac:dyDescent="0.25">
      <c r="A61" s="333"/>
      <c r="B61" s="334"/>
      <c r="C61" s="335" t="s">
        <v>121</v>
      </c>
      <c r="D61" s="336"/>
      <c r="E61" s="336"/>
      <c r="F61" s="336"/>
      <c r="G61" s="336"/>
      <c r="H61" s="495">
        <v>2245994748</v>
      </c>
      <c r="I61" s="337"/>
      <c r="J61" s="339">
        <v>1715994748</v>
      </c>
      <c r="K61" s="337"/>
      <c r="L61" s="338"/>
      <c r="M61" s="11"/>
      <c r="N61" s="340"/>
    </row>
    <row r="62" spans="1:15" ht="15.75" x14ac:dyDescent="0.25">
      <c r="A62" s="156"/>
      <c r="B62" s="157"/>
      <c r="C62" s="158" t="s">
        <v>191</v>
      </c>
      <c r="D62" s="159"/>
      <c r="E62" s="159"/>
      <c r="F62" s="159"/>
      <c r="G62" s="159"/>
      <c r="H62" s="496">
        <v>36223000</v>
      </c>
      <c r="I62" s="160"/>
      <c r="J62" s="162">
        <v>36223000</v>
      </c>
      <c r="K62" s="160"/>
      <c r="L62" s="161"/>
      <c r="M62" s="340"/>
      <c r="N62" s="340"/>
      <c r="O62" s="340"/>
    </row>
    <row r="63" spans="1:15" ht="15.75" x14ac:dyDescent="0.25">
      <c r="A63" s="163"/>
      <c r="B63" s="164"/>
      <c r="C63" s="165" t="s">
        <v>226</v>
      </c>
      <c r="D63" s="166"/>
      <c r="E63" s="166"/>
      <c r="F63" s="166"/>
      <c r="G63" s="166"/>
      <c r="H63" s="497">
        <v>0</v>
      </c>
      <c r="I63" s="167"/>
      <c r="J63" s="169">
        <v>56000000</v>
      </c>
      <c r="K63" s="167"/>
      <c r="L63" s="168"/>
      <c r="M63" s="340"/>
      <c r="N63" s="340"/>
      <c r="O63" s="340"/>
    </row>
    <row r="64" spans="1:15" ht="16.5" thickBot="1" x14ac:dyDescent="0.3">
      <c r="A64" s="163"/>
      <c r="B64" s="164"/>
      <c r="C64" s="165" t="s">
        <v>122</v>
      </c>
      <c r="D64" s="166"/>
      <c r="E64" s="166"/>
      <c r="F64" s="166"/>
      <c r="G64" s="166"/>
      <c r="H64" s="497">
        <f>H59</f>
        <v>32623073746</v>
      </c>
      <c r="I64" s="167"/>
      <c r="J64" s="169">
        <f>J59</f>
        <v>34391209527</v>
      </c>
      <c r="K64" s="167"/>
      <c r="L64" s="168"/>
      <c r="M64" s="340"/>
      <c r="N64" s="649"/>
      <c r="O64" s="340"/>
    </row>
    <row r="65" spans="1:17" ht="16.5" thickBot="1" x14ac:dyDescent="0.3">
      <c r="A65" s="170"/>
      <c r="B65" s="171"/>
      <c r="C65" s="814" t="s">
        <v>76</v>
      </c>
      <c r="D65" s="815"/>
      <c r="E65" s="815"/>
      <c r="F65" s="815"/>
      <c r="G65" s="815"/>
      <c r="H65" s="498">
        <f>SUM(H61:H64)</f>
        <v>34905291494</v>
      </c>
      <c r="I65" s="148"/>
      <c r="J65" s="331">
        <f>SUM(J61:J64)</f>
        <v>36199427275</v>
      </c>
      <c r="K65" s="148"/>
      <c r="L65" s="150"/>
      <c r="M65" s="11"/>
    </row>
    <row r="66" spans="1:17" x14ac:dyDescent="0.25">
      <c r="A66" s="172"/>
      <c r="B66" s="172"/>
      <c r="C66" s="172"/>
      <c r="D66" s="172"/>
      <c r="E66" s="172"/>
      <c r="F66" s="172"/>
      <c r="G66" s="172"/>
      <c r="H66" s="173"/>
      <c r="I66" s="174"/>
      <c r="J66" s="176"/>
      <c r="K66" s="176"/>
      <c r="L66" s="175"/>
      <c r="M66" s="176"/>
      <c r="N66" s="176"/>
      <c r="O66" s="177"/>
      <c r="P66" s="177"/>
    </row>
    <row r="67" spans="1:17" ht="15.75" x14ac:dyDescent="0.25">
      <c r="A67" s="172"/>
      <c r="B67" s="172"/>
      <c r="C67" s="178" t="s">
        <v>190</v>
      </c>
      <c r="D67" s="172"/>
      <c r="E67" s="172"/>
      <c r="F67" s="172"/>
      <c r="G67" s="172"/>
      <c r="H67" s="173"/>
      <c r="I67" s="174"/>
      <c r="J67" s="176"/>
      <c r="K67" s="176"/>
      <c r="L67" s="175"/>
      <c r="M67" s="176"/>
      <c r="N67" s="176"/>
      <c r="O67" s="177"/>
      <c r="P67" s="177"/>
    </row>
    <row r="68" spans="1:17" x14ac:dyDescent="0.25">
      <c r="A68" s="172"/>
      <c r="B68" s="172"/>
      <c r="C68" s="828" t="s">
        <v>77</v>
      </c>
      <c r="D68" s="828"/>
      <c r="E68" s="828"/>
      <c r="F68" s="828"/>
      <c r="G68" s="828"/>
      <c r="H68" s="180">
        <f>H20+H23+H25+H37+H27+H40+H43+H49+H50+H51+H52+H55+H56-H48</f>
        <v>32333601300</v>
      </c>
      <c r="I68" s="179"/>
      <c r="J68" s="180">
        <f>J20+J23+J25+J37+J27+J40+J43+J49+J50+J51+J52+J55+J56-J48</f>
        <v>34252829527</v>
      </c>
      <c r="K68" s="177"/>
      <c r="L68" s="373"/>
    </row>
    <row r="69" spans="1:17" x14ac:dyDescent="0.25">
      <c r="A69" s="172"/>
      <c r="B69" s="172"/>
      <c r="C69" s="828" t="s">
        <v>78</v>
      </c>
      <c r="D69" s="828"/>
      <c r="E69" s="828"/>
      <c r="F69" s="828"/>
      <c r="G69" s="828"/>
      <c r="H69" s="180">
        <f>H24+H26+H28+H53</f>
        <v>164284402</v>
      </c>
      <c r="I69" s="179"/>
      <c r="J69" s="180">
        <f>J24+J26+J28+J53</f>
        <v>75580000</v>
      </c>
      <c r="K69" s="177"/>
      <c r="L69" s="177"/>
    </row>
    <row r="70" spans="1:17" x14ac:dyDescent="0.25">
      <c r="A70" s="172"/>
      <c r="B70" s="172"/>
      <c r="C70" s="828" t="s">
        <v>212</v>
      </c>
      <c r="D70" s="828"/>
      <c r="E70" s="828"/>
      <c r="F70" s="828"/>
      <c r="G70" s="828"/>
      <c r="H70" s="180">
        <f>H48+H54</f>
        <v>125188044</v>
      </c>
      <c r="I70" s="179"/>
      <c r="J70" s="180">
        <f>J48+J54</f>
        <v>62800000</v>
      </c>
      <c r="K70" s="177"/>
      <c r="L70" s="177"/>
    </row>
    <row r="71" spans="1:17" x14ac:dyDescent="0.25">
      <c r="A71" s="172"/>
      <c r="B71" s="172"/>
      <c r="C71" s="332"/>
      <c r="D71" s="332"/>
      <c r="E71" s="332"/>
      <c r="F71" s="332"/>
      <c r="G71" s="332"/>
      <c r="H71" s="173"/>
      <c r="I71" s="174"/>
      <c r="J71" s="175"/>
      <c r="K71" s="176"/>
      <c r="L71" s="176"/>
      <c r="M71" s="175"/>
      <c r="N71" s="176"/>
      <c r="O71" s="176"/>
      <c r="P71" s="177"/>
      <c r="Q71" s="177"/>
    </row>
    <row r="72" spans="1:17" ht="16.5" x14ac:dyDescent="0.25">
      <c r="A72" s="181" t="s">
        <v>123</v>
      </c>
      <c r="B72" s="813" t="s">
        <v>79</v>
      </c>
      <c r="C72" s="813"/>
      <c r="D72" s="813"/>
      <c r="E72" s="813"/>
      <c r="F72" s="813"/>
      <c r="G72" s="813"/>
      <c r="H72" s="813"/>
      <c r="I72" s="813"/>
      <c r="J72" s="813"/>
      <c r="K72" s="813"/>
      <c r="L72" s="813"/>
      <c r="M72" s="813"/>
      <c r="N72" s="813"/>
      <c r="O72" s="813"/>
      <c r="P72" s="813"/>
      <c r="Q72" s="813"/>
    </row>
    <row r="73" spans="1:17" ht="16.5" x14ac:dyDescent="0.25">
      <c r="A73" s="181" t="s">
        <v>124</v>
      </c>
      <c r="B73" s="813" t="s">
        <v>227</v>
      </c>
      <c r="C73" s="813"/>
      <c r="D73" s="813"/>
      <c r="E73" s="813"/>
      <c r="F73" s="813"/>
      <c r="G73" s="813"/>
      <c r="H73" s="813"/>
      <c r="I73" s="813"/>
      <c r="J73" s="813"/>
      <c r="K73" s="813"/>
      <c r="L73" s="813"/>
      <c r="M73" s="813"/>
      <c r="N73" s="813"/>
      <c r="O73" s="813"/>
      <c r="P73" s="813"/>
      <c r="Q73" s="813"/>
    </row>
    <row r="74" spans="1:17" ht="16.5" x14ac:dyDescent="0.25">
      <c r="A74" s="181"/>
    </row>
    <row r="75" spans="1:17" ht="21" x14ac:dyDescent="0.25">
      <c r="A75" s="441" t="s">
        <v>187</v>
      </c>
      <c r="B75" s="440"/>
    </row>
  </sheetData>
  <mergeCells count="39">
    <mergeCell ref="A1:L1"/>
    <mergeCell ref="C68:G68"/>
    <mergeCell ref="C69:G69"/>
    <mergeCell ref="C70:G70"/>
    <mergeCell ref="K10:K12"/>
    <mergeCell ref="L10:L12"/>
    <mergeCell ref="C13:G13"/>
    <mergeCell ref="C15:G15"/>
    <mergeCell ref="C16:G16"/>
    <mergeCell ref="J10:J12"/>
    <mergeCell ref="C20:G20"/>
    <mergeCell ref="H10:H12"/>
    <mergeCell ref="I10:I12"/>
    <mergeCell ref="A7:D7"/>
    <mergeCell ref="H7:I7"/>
    <mergeCell ref="H8:I8"/>
    <mergeCell ref="B72:Q72"/>
    <mergeCell ref="B73:Q73"/>
    <mergeCell ref="C65:G65"/>
    <mergeCell ref="C23:G23"/>
    <mergeCell ref="C25:G25"/>
    <mergeCell ref="C26:G26"/>
    <mergeCell ref="C27:G27"/>
    <mergeCell ref="C28:G28"/>
    <mergeCell ref="C29:G29"/>
    <mergeCell ref="C32:G32"/>
    <mergeCell ref="C37:G37"/>
    <mergeCell ref="C41:C42"/>
    <mergeCell ref="C44:C48"/>
    <mergeCell ref="A10:A12"/>
    <mergeCell ref="B10:B12"/>
    <mergeCell ref="C10:G12"/>
    <mergeCell ref="A6:D6"/>
    <mergeCell ref="H6:I6"/>
    <mergeCell ref="A4:D4"/>
    <mergeCell ref="H4:I4"/>
    <mergeCell ref="A5:D5"/>
    <mergeCell ref="H5:I5"/>
    <mergeCell ref="A9:I9"/>
  </mergeCells>
  <hyperlinks>
    <hyperlink ref="A75" location="'0 Seznam'!A1" display="Seznam" xr:uid="{4F751480-CE93-4A34-902B-71FC74CA716B}"/>
  </hyperlinks>
  <pageMargins left="0.25" right="0.25" top="0.75" bottom="0.75" header="0.3" footer="0.3"/>
  <pageSetup paperSize="8" scale="61" orientation="landscape" r:id="rId1"/>
  <headerFooter>
    <oddHeader xml:space="preserve">&amp;LČ. j.: MSMT-5003/2026-1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A9D08E"/>
    <pageSetUpPr fitToPage="1"/>
  </sheetPr>
  <dimension ref="A1:R38"/>
  <sheetViews>
    <sheetView zoomScale="85" zoomScaleNormal="85" workbookViewId="0">
      <selection activeCell="K22" sqref="K22"/>
    </sheetView>
  </sheetViews>
  <sheetFormatPr defaultRowHeight="15" x14ac:dyDescent="0.25"/>
  <cols>
    <col min="1" max="1" width="10.5703125" customWidth="1"/>
    <col min="2" max="2" width="48.42578125" customWidth="1"/>
    <col min="3" max="8" width="11" customWidth="1"/>
    <col min="9" max="9" width="16.85546875" customWidth="1"/>
    <col min="10" max="16" width="11" customWidth="1"/>
    <col min="17" max="18" width="15.85546875" customWidth="1"/>
  </cols>
  <sheetData>
    <row r="1" spans="1:18" ht="27.75" x14ac:dyDescent="0.25">
      <c r="A1" s="231" t="s">
        <v>277</v>
      </c>
    </row>
    <row r="2" spans="1:18" ht="28.5" thickBot="1" x14ac:dyDescent="0.3">
      <c r="A2" s="231"/>
    </row>
    <row r="3" spans="1:18" ht="15.75" customHeight="1" thickBot="1" x14ac:dyDescent="0.3">
      <c r="A3" s="859" t="s">
        <v>91</v>
      </c>
      <c r="B3" s="860"/>
      <c r="C3" s="232"/>
      <c r="D3" s="233"/>
      <c r="E3" s="233"/>
      <c r="F3" s="499">
        <v>0.2</v>
      </c>
      <c r="G3" s="232"/>
      <c r="H3" s="499">
        <v>0.1</v>
      </c>
      <c r="I3" s="232"/>
      <c r="J3" s="499">
        <v>0.1</v>
      </c>
      <c r="K3" s="232"/>
      <c r="L3" s="499">
        <v>0.5</v>
      </c>
      <c r="M3" s="500"/>
      <c r="N3" s="501">
        <v>3.5000000000000003E-2</v>
      </c>
      <c r="O3" s="500"/>
      <c r="P3" s="501">
        <v>6.5000000000000002E-2</v>
      </c>
      <c r="Q3" s="502">
        <f>SUM(F3:P3)</f>
        <v>1</v>
      </c>
      <c r="R3" s="503">
        <v>5.613349108840128E-2</v>
      </c>
    </row>
    <row r="4" spans="1:18" ht="30" customHeight="1" x14ac:dyDescent="0.25">
      <c r="A4" s="861" t="s">
        <v>2</v>
      </c>
      <c r="B4" s="863" t="s">
        <v>3</v>
      </c>
      <c r="C4" s="865" t="s">
        <v>92</v>
      </c>
      <c r="D4" s="866"/>
      <c r="E4" s="866"/>
      <c r="F4" s="867"/>
      <c r="G4" s="855" t="s">
        <v>93</v>
      </c>
      <c r="H4" s="856"/>
      <c r="I4" s="855" t="s">
        <v>94</v>
      </c>
      <c r="J4" s="856"/>
      <c r="K4" s="855" t="s">
        <v>95</v>
      </c>
      <c r="L4" s="856"/>
      <c r="M4" s="855" t="s">
        <v>128</v>
      </c>
      <c r="N4" s="856"/>
      <c r="O4" s="855" t="s">
        <v>96</v>
      </c>
      <c r="P4" s="856"/>
      <c r="Q4" s="857" t="s">
        <v>97</v>
      </c>
      <c r="R4" s="857" t="s">
        <v>98</v>
      </c>
    </row>
    <row r="5" spans="1:18" ht="15.75" thickBot="1" x14ac:dyDescent="0.3">
      <c r="A5" s="862"/>
      <c r="B5" s="864"/>
      <c r="C5" s="234" t="s">
        <v>99</v>
      </c>
      <c r="D5" s="235" t="s">
        <v>100</v>
      </c>
      <c r="E5" s="236" t="s">
        <v>28</v>
      </c>
      <c r="F5" s="237" t="s">
        <v>101</v>
      </c>
      <c r="G5" s="238" t="s">
        <v>28</v>
      </c>
      <c r="H5" s="239" t="s">
        <v>101</v>
      </c>
      <c r="I5" s="238" t="s">
        <v>28</v>
      </c>
      <c r="J5" s="239" t="s">
        <v>101</v>
      </c>
      <c r="K5" s="238" t="s">
        <v>28</v>
      </c>
      <c r="L5" s="239" t="s">
        <v>101</v>
      </c>
      <c r="M5" s="238" t="s">
        <v>28</v>
      </c>
      <c r="N5" s="239" t="s">
        <v>101</v>
      </c>
      <c r="O5" s="238" t="s">
        <v>28</v>
      </c>
      <c r="P5" s="239" t="s">
        <v>101</v>
      </c>
      <c r="Q5" s="858"/>
      <c r="R5" s="858"/>
    </row>
    <row r="6" spans="1:18" x14ac:dyDescent="0.25">
      <c r="A6" s="240">
        <v>51000</v>
      </c>
      <c r="B6" s="241" t="s">
        <v>23</v>
      </c>
      <c r="C6" s="504"/>
      <c r="D6" s="505"/>
      <c r="E6" s="506"/>
      <c r="F6" s="507">
        <f>0.5*F12+0.3*F18+0.2*F24</f>
        <v>0.38670082864498928</v>
      </c>
      <c r="G6" s="504"/>
      <c r="H6" s="507">
        <f>H12</f>
        <v>0.47807016117458623</v>
      </c>
      <c r="I6" s="504"/>
      <c r="J6" s="508">
        <f>J12</f>
        <v>0.48193280005428851</v>
      </c>
      <c r="K6" s="504"/>
      <c r="L6" s="507">
        <f>L12</f>
        <v>0.44786048756419972</v>
      </c>
      <c r="M6" s="504"/>
      <c r="N6" s="508">
        <f>N12</f>
        <v>0.81770842492744555</v>
      </c>
      <c r="O6" s="504"/>
      <c r="P6" s="507">
        <f>0.5*P18+0.3*P24+0.2*P30</f>
        <v>0.30209623729373852</v>
      </c>
      <c r="Q6" s="509">
        <f t="array" ref="Q6">SUM($C$3:$P$3*C6:P6)</f>
        <v>0.44552675593053881</v>
      </c>
      <c r="R6" s="510">
        <f>Q6*$R$3</f>
        <v>2.5008972183671232E-2</v>
      </c>
    </row>
    <row r="7" spans="1:18" x14ac:dyDescent="0.25">
      <c r="A7" s="240">
        <v>52000</v>
      </c>
      <c r="B7" s="242" t="s">
        <v>24</v>
      </c>
      <c r="C7" s="505"/>
      <c r="D7" s="505"/>
      <c r="E7" s="505"/>
      <c r="F7" s="511">
        <f t="shared" ref="F7:F9" si="0">0.5*F13+0.3*F19+0.2*F25</f>
        <v>0.19464171826330273</v>
      </c>
      <c r="G7" s="512"/>
      <c r="H7" s="511">
        <f t="shared" ref="H7:H9" si="1">H13</f>
        <v>0.10117943466395526</v>
      </c>
      <c r="I7" s="512"/>
      <c r="J7" s="513">
        <f t="shared" ref="J7:J9" si="2">J13</f>
        <v>0.1383263504157605</v>
      </c>
      <c r="K7" s="512"/>
      <c r="L7" s="511">
        <f t="shared" ref="L7:L9" si="3">L13</f>
        <v>0.14399877847203515</v>
      </c>
      <c r="M7" s="512"/>
      <c r="N7" s="513">
        <f t="shared" ref="N7:N9" si="4">N13</f>
        <v>4.0753570308252371E-2</v>
      </c>
      <c r="O7" s="512"/>
      <c r="P7" s="511">
        <f t="shared" ref="P7:P9" si="5">0.5*P19+0.3*P25+0.2*P31</f>
        <v>6.204955609154602E-2</v>
      </c>
      <c r="Q7" s="514">
        <f t="array" ref="Q7">SUM($C$3:$P$3*C7:P7)</f>
        <v>0.14033790750338904</v>
      </c>
      <c r="R7" s="515">
        <f>Q7*$R$3</f>
        <v>7.8776566802063724E-3</v>
      </c>
    </row>
    <row r="8" spans="1:18" x14ac:dyDescent="0.25">
      <c r="A8" s="240">
        <v>53000</v>
      </c>
      <c r="B8" s="242" t="s">
        <v>25</v>
      </c>
      <c r="C8" s="505"/>
      <c r="D8" s="505"/>
      <c r="E8" s="505"/>
      <c r="F8" s="513">
        <f t="shared" si="0"/>
        <v>0.26627992186764232</v>
      </c>
      <c r="G8" s="512"/>
      <c r="H8" s="511">
        <f t="shared" si="1"/>
        <v>0.15789368887937139</v>
      </c>
      <c r="I8" s="512"/>
      <c r="J8" s="513">
        <f t="shared" si="2"/>
        <v>0.24422166346434782</v>
      </c>
      <c r="K8" s="512"/>
      <c r="L8" s="511">
        <f t="shared" si="3"/>
        <v>0.16657675303687078</v>
      </c>
      <c r="M8" s="512"/>
      <c r="N8" s="513">
        <f t="shared" si="4"/>
        <v>0.1386886745230505</v>
      </c>
      <c r="O8" s="512"/>
      <c r="P8" s="511">
        <f t="shared" si="5"/>
        <v>0.51992076911468321</v>
      </c>
      <c r="Q8" s="515">
        <f t="array" ref="Q8">SUM($C$3:$P$3*C8:P8)</f>
        <v>0.21540484972709695</v>
      </c>
      <c r="R8" s="515">
        <f>Q8*$R$3</f>
        <v>1.2091426212554414E-2</v>
      </c>
    </row>
    <row r="9" spans="1:18" ht="15" customHeight="1" thickBot="1" x14ac:dyDescent="0.3">
      <c r="A9" s="243">
        <v>54000</v>
      </c>
      <c r="B9" s="244" t="s">
        <v>197</v>
      </c>
      <c r="C9" s="516"/>
      <c r="D9" s="505"/>
      <c r="E9" s="517"/>
      <c r="F9" s="518">
        <f t="shared" si="0"/>
        <v>0.15237753122406567</v>
      </c>
      <c r="G9" s="512"/>
      <c r="H9" s="511">
        <f t="shared" si="1"/>
        <v>0.26285671528208709</v>
      </c>
      <c r="I9" s="512"/>
      <c r="J9" s="513">
        <f t="shared" si="2"/>
        <v>0.13551918606560326</v>
      </c>
      <c r="K9" s="512"/>
      <c r="L9" s="511">
        <f t="shared" si="3"/>
        <v>0.24156398092689443</v>
      </c>
      <c r="M9" s="512"/>
      <c r="N9" s="513">
        <f t="shared" si="4"/>
        <v>2.8493302412516005E-3</v>
      </c>
      <c r="O9" s="512"/>
      <c r="P9" s="511">
        <f t="shared" si="5"/>
        <v>0.11593343750003221</v>
      </c>
      <c r="Q9" s="514">
        <f t="array" ref="Q9">SUM($C$3:$P$3*C9:P9)</f>
        <v>0.19873048683897529</v>
      </c>
      <c r="R9" s="515">
        <f>Q9*$R$3</f>
        <v>1.1155436011969267E-2</v>
      </c>
    </row>
    <row r="10" spans="1:18" ht="15.75" thickBot="1" x14ac:dyDescent="0.3">
      <c r="A10" s="853" t="s">
        <v>102</v>
      </c>
      <c r="B10" s="854"/>
      <c r="C10" s="519"/>
      <c r="D10" s="519"/>
      <c r="E10" s="519"/>
      <c r="F10" s="520">
        <f>SUM(F6:F9)</f>
        <v>1</v>
      </c>
      <c r="G10" s="521"/>
      <c r="H10" s="522">
        <f>SUM(H6:H9)</f>
        <v>1</v>
      </c>
      <c r="I10" s="521"/>
      <c r="J10" s="520">
        <f>SUM(J6:J9)</f>
        <v>1</v>
      </c>
      <c r="K10" s="521"/>
      <c r="L10" s="522">
        <f>SUM(L6:L9)</f>
        <v>1</v>
      </c>
      <c r="M10" s="521"/>
      <c r="N10" s="520">
        <f>SUM(N6:N9)</f>
        <v>1</v>
      </c>
      <c r="O10" s="521"/>
      <c r="P10" s="522">
        <f>SUM(P6:P9)</f>
        <v>1</v>
      </c>
      <c r="Q10" s="523">
        <f>SUM(Q6:Q9)</f>
        <v>1</v>
      </c>
      <c r="R10" s="524">
        <f>SUM(R6:R9)</f>
        <v>5.613349108840128E-2</v>
      </c>
    </row>
    <row r="11" spans="1:18" ht="15.75" thickBot="1" x14ac:dyDescent="0.3">
      <c r="Q11" s="484"/>
      <c r="R11" s="613"/>
    </row>
    <row r="12" spans="1:18" x14ac:dyDescent="0.25">
      <c r="A12" s="245">
        <v>51000</v>
      </c>
      <c r="B12" s="241" t="s">
        <v>23</v>
      </c>
      <c r="C12" s="525">
        <v>10336</v>
      </c>
      <c r="D12" s="525">
        <v>14076</v>
      </c>
      <c r="E12" s="525">
        <f>SUM(D12,C12)</f>
        <v>24412</v>
      </c>
      <c r="F12" s="507">
        <f>E12/$E$16</f>
        <v>0.39707221860767727</v>
      </c>
      <c r="G12" s="526">
        <v>1618.7190470785497</v>
      </c>
      <c r="H12" s="507">
        <f>G12/$G$16</f>
        <v>0.47807016117458623</v>
      </c>
      <c r="I12" s="526"/>
      <c r="J12" s="508">
        <v>0.48193280005428851</v>
      </c>
      <c r="K12" s="526">
        <v>169607.465</v>
      </c>
      <c r="L12" s="507">
        <f>K12/$K$16</f>
        <v>0.44786048756419972</v>
      </c>
      <c r="M12" s="526"/>
      <c r="N12" s="507">
        <v>0.81770842492744555</v>
      </c>
      <c r="Q12" s="484"/>
      <c r="R12" s="613"/>
    </row>
    <row r="13" spans="1:18" x14ac:dyDescent="0.25">
      <c r="A13" s="240">
        <v>52000</v>
      </c>
      <c r="B13" s="242" t="s">
        <v>24</v>
      </c>
      <c r="C13" s="527">
        <v>5922</v>
      </c>
      <c r="D13" s="527">
        <v>5797</v>
      </c>
      <c r="E13" s="527">
        <f>SUM(D13,C13)</f>
        <v>11719</v>
      </c>
      <c r="F13" s="511">
        <f t="shared" ref="F13:F15" si="6">E13/$E$16</f>
        <v>0.19061483409238777</v>
      </c>
      <c r="G13" s="528">
        <v>342.58795332631712</v>
      </c>
      <c r="H13" s="511">
        <f t="shared" ref="H13:H15" si="7">G13/$G$16</f>
        <v>0.10117943466395526</v>
      </c>
      <c r="I13" s="528"/>
      <c r="J13" s="513">
        <v>0.1383263504157605</v>
      </c>
      <c r="K13" s="528">
        <v>54533.205000000002</v>
      </c>
      <c r="L13" s="511">
        <f t="shared" ref="L13:L15" si="8">K13/$K$16</f>
        <v>0.14399877847203515</v>
      </c>
      <c r="M13" s="528"/>
      <c r="N13" s="511">
        <v>4.0753570308252371E-2</v>
      </c>
      <c r="Q13" s="484"/>
      <c r="R13" s="613"/>
    </row>
    <row r="14" spans="1:18" x14ac:dyDescent="0.25">
      <c r="A14" s="240">
        <v>53000</v>
      </c>
      <c r="B14" s="242" t="s">
        <v>25</v>
      </c>
      <c r="C14" s="527">
        <v>7961</v>
      </c>
      <c r="D14" s="527">
        <v>9291</v>
      </c>
      <c r="E14" s="527">
        <f>SUM(D14,C14)</f>
        <v>17252</v>
      </c>
      <c r="F14" s="513">
        <f t="shared" si="6"/>
        <v>0.28061158100195188</v>
      </c>
      <c r="G14" s="528">
        <v>534.61927214736977</v>
      </c>
      <c r="H14" s="511">
        <f t="shared" si="7"/>
        <v>0.15789368887937139</v>
      </c>
      <c r="I14" s="528"/>
      <c r="J14" s="513">
        <v>0.24422166346434782</v>
      </c>
      <c r="K14" s="528">
        <v>63083.62</v>
      </c>
      <c r="L14" s="511">
        <f t="shared" si="8"/>
        <v>0.16657675303687078</v>
      </c>
      <c r="M14" s="528"/>
      <c r="N14" s="511">
        <v>0.1386886745230505</v>
      </c>
      <c r="Q14" s="484"/>
      <c r="R14" s="613"/>
    </row>
    <row r="15" spans="1:18" ht="15" customHeight="1" thickBot="1" x14ac:dyDescent="0.3">
      <c r="A15" s="614">
        <v>54000</v>
      </c>
      <c r="B15" s="628" t="s">
        <v>197</v>
      </c>
      <c r="C15" s="615">
        <v>3099</v>
      </c>
      <c r="D15" s="616">
        <v>4998</v>
      </c>
      <c r="E15" s="615">
        <f>SUM(D15,C15)</f>
        <v>8097</v>
      </c>
      <c r="F15" s="617">
        <f t="shared" si="6"/>
        <v>0.1317013662979831</v>
      </c>
      <c r="G15" s="618">
        <v>890.01825722445108</v>
      </c>
      <c r="H15" s="619">
        <f t="shared" si="7"/>
        <v>0.26285671528208709</v>
      </c>
      <c r="I15" s="618"/>
      <c r="J15" s="620">
        <v>0.13551918606560326</v>
      </c>
      <c r="K15" s="618">
        <v>91481.735000000001</v>
      </c>
      <c r="L15" s="619">
        <f t="shared" si="8"/>
        <v>0.24156398092689443</v>
      </c>
      <c r="M15" s="618"/>
      <c r="N15" s="619">
        <v>2.8493302412516005E-3</v>
      </c>
      <c r="Q15" s="484"/>
      <c r="R15" s="613"/>
    </row>
    <row r="16" spans="1:18" ht="15.75" thickBot="1" x14ac:dyDescent="0.3">
      <c r="A16" s="246">
        <v>2025</v>
      </c>
      <c r="B16" s="247" t="s">
        <v>102</v>
      </c>
      <c r="C16" s="530">
        <f t="shared" ref="C16:H16" si="9">SUM(C12:C15)</f>
        <v>27318</v>
      </c>
      <c r="D16" s="530">
        <f t="shared" si="9"/>
        <v>34162</v>
      </c>
      <c r="E16" s="530">
        <f t="shared" si="9"/>
        <v>61480</v>
      </c>
      <c r="F16" s="520">
        <f t="shared" si="9"/>
        <v>1</v>
      </c>
      <c r="G16" s="531">
        <f t="shared" si="9"/>
        <v>3385.9445297766879</v>
      </c>
      <c r="H16" s="522">
        <f t="shared" si="9"/>
        <v>1</v>
      </c>
      <c r="I16" s="531"/>
      <c r="J16" s="520">
        <f>SUM(J12:J15)</f>
        <v>1</v>
      </c>
      <c r="K16" s="531">
        <f>SUM(K12:K15)</f>
        <v>378706.02499999997</v>
      </c>
      <c r="L16" s="522">
        <f>SUM(L12:L15)</f>
        <v>1</v>
      </c>
      <c r="M16" s="531"/>
      <c r="N16" s="522">
        <f>SUM(N12:N15)</f>
        <v>1</v>
      </c>
      <c r="Q16" s="484"/>
      <c r="R16" s="613"/>
    </row>
    <row r="17" spans="1:18" ht="15.75" thickBot="1" x14ac:dyDescent="0.3">
      <c r="Q17" s="484"/>
      <c r="R17" s="613"/>
    </row>
    <row r="18" spans="1:18" x14ac:dyDescent="0.25">
      <c r="A18" s="245">
        <v>51000</v>
      </c>
      <c r="B18" s="241" t="s">
        <v>23</v>
      </c>
      <c r="C18" s="526">
        <v>11361</v>
      </c>
      <c r="D18" s="525">
        <v>17496</v>
      </c>
      <c r="E18" s="525">
        <f>SUM(D18,C18)</f>
        <v>28857</v>
      </c>
      <c r="F18" s="507">
        <f>E18/$E$22</f>
        <v>0.40632788408735693</v>
      </c>
      <c r="G18" s="11"/>
      <c r="H18" s="532"/>
      <c r="I18" s="11"/>
      <c r="J18" s="532"/>
      <c r="K18" s="11"/>
      <c r="L18" s="532"/>
      <c r="M18" s="11"/>
      <c r="N18" s="532"/>
      <c r="O18" s="526">
        <v>7855.8416300000017</v>
      </c>
      <c r="P18" s="507">
        <f>O18/$O$22</f>
        <v>0.25957284438919459</v>
      </c>
      <c r="Q18" s="484"/>
      <c r="R18" s="613"/>
    </row>
    <row r="19" spans="1:18" x14ac:dyDescent="0.25">
      <c r="A19" s="240">
        <v>52000</v>
      </c>
      <c r="B19" s="242" t="s">
        <v>24</v>
      </c>
      <c r="C19" s="528">
        <v>4700</v>
      </c>
      <c r="D19" s="527">
        <v>8561</v>
      </c>
      <c r="E19" s="527">
        <f>SUM(D19,C19)</f>
        <v>13261</v>
      </c>
      <c r="F19" s="511">
        <f t="shared" ref="F19:F21" si="10">E19/$E$22</f>
        <v>0.18672467931117026</v>
      </c>
      <c r="G19" s="11"/>
      <c r="H19" s="532"/>
      <c r="I19" s="11"/>
      <c r="J19" s="532"/>
      <c r="K19" s="11"/>
      <c r="L19" s="532"/>
      <c r="M19" s="11"/>
      <c r="N19" s="532"/>
      <c r="O19" s="528">
        <v>1907</v>
      </c>
      <c r="P19" s="511">
        <f t="shared" ref="P19:P21" si="11">O19/$O$22</f>
        <v>6.3011124404527233E-2</v>
      </c>
      <c r="Q19" s="484"/>
      <c r="R19" s="613"/>
    </row>
    <row r="20" spans="1:18" x14ac:dyDescent="0.25">
      <c r="A20" s="240">
        <v>53000</v>
      </c>
      <c r="B20" s="242" t="s">
        <v>25</v>
      </c>
      <c r="C20" s="528">
        <v>4327</v>
      </c>
      <c r="D20" s="527">
        <v>11181</v>
      </c>
      <c r="E20" s="527">
        <f>SUM(D20,C20)</f>
        <v>15508</v>
      </c>
      <c r="F20" s="511">
        <f t="shared" si="10"/>
        <v>0.21836409974795476</v>
      </c>
      <c r="G20" s="11"/>
      <c r="H20" s="532"/>
      <c r="I20" s="11"/>
      <c r="J20" s="532"/>
      <c r="K20" s="11"/>
      <c r="L20" s="532"/>
      <c r="M20" s="11"/>
      <c r="N20" s="532"/>
      <c r="O20" s="528">
        <v>16196</v>
      </c>
      <c r="P20" s="511">
        <f t="shared" si="11"/>
        <v>0.53514849022324229</v>
      </c>
      <c r="Q20" s="484"/>
      <c r="R20" s="613"/>
    </row>
    <row r="21" spans="1:18" s="621" customFormat="1" ht="15" customHeight="1" thickBot="1" x14ac:dyDescent="0.3">
      <c r="A21" s="614">
        <v>54000</v>
      </c>
      <c r="B21" s="628" t="s">
        <v>197</v>
      </c>
      <c r="C21" s="629">
        <v>7310</v>
      </c>
      <c r="D21" s="616">
        <v>6083</v>
      </c>
      <c r="E21" s="615">
        <f>SUM(D21,C21)</f>
        <v>13393</v>
      </c>
      <c r="F21" s="617">
        <f t="shared" si="10"/>
        <v>0.18858333685351808</v>
      </c>
      <c r="G21" s="630"/>
      <c r="H21" s="631"/>
      <c r="I21" s="630"/>
      <c r="J21" s="631"/>
      <c r="K21" s="630"/>
      <c r="L21" s="631"/>
      <c r="M21" s="630"/>
      <c r="N21" s="631"/>
      <c r="O21" s="528">
        <v>4305.6556</v>
      </c>
      <c r="P21" s="511">
        <f t="shared" si="11"/>
        <v>0.14226754098303585</v>
      </c>
    </row>
    <row r="22" spans="1:18" ht="15.75" thickBot="1" x14ac:dyDescent="0.3">
      <c r="A22" s="246">
        <v>2024</v>
      </c>
      <c r="B22" s="247" t="s">
        <v>102</v>
      </c>
      <c r="C22" s="531">
        <f t="shared" ref="C22:F22" si="12">SUM(C18:C21)</f>
        <v>27698</v>
      </c>
      <c r="D22" s="530">
        <f t="shared" si="12"/>
        <v>43321</v>
      </c>
      <c r="E22" s="530">
        <f t="shared" si="12"/>
        <v>71019</v>
      </c>
      <c r="F22" s="522">
        <f t="shared" si="12"/>
        <v>1</v>
      </c>
      <c r="G22" s="483"/>
      <c r="H22" s="533"/>
      <c r="I22" s="483"/>
      <c r="J22" s="533"/>
      <c r="K22" s="483"/>
      <c r="L22" s="533"/>
      <c r="M22" s="483"/>
      <c r="N22" s="533"/>
      <c r="O22" s="531">
        <f>SUM(O18:O21)</f>
        <v>30264.497230000001</v>
      </c>
      <c r="P22" s="522">
        <f>SUM(P18:P21)</f>
        <v>1</v>
      </c>
    </row>
    <row r="23" spans="1:18" ht="15.75" thickBot="1" x14ac:dyDescent="0.3"/>
    <row r="24" spans="1:18" x14ac:dyDescent="0.25">
      <c r="A24" s="245">
        <v>51000</v>
      </c>
      <c r="B24" s="241" t="s">
        <v>23</v>
      </c>
      <c r="C24" s="526">
        <v>8377</v>
      </c>
      <c r="D24" s="525">
        <v>20316</v>
      </c>
      <c r="E24" s="525">
        <f>SUM(D24,C24)</f>
        <v>28693</v>
      </c>
      <c r="F24" s="507">
        <f>E24/$E$28</f>
        <v>0.33133177057471797</v>
      </c>
      <c r="O24" s="526">
        <v>13595.251</v>
      </c>
      <c r="P24" s="507">
        <f>O24/$O$28</f>
        <v>0.33949598694559519</v>
      </c>
    </row>
    <row r="25" spans="1:18" x14ac:dyDescent="0.25">
      <c r="A25" s="240">
        <v>52000</v>
      </c>
      <c r="B25" s="242" t="s">
        <v>24</v>
      </c>
      <c r="C25" s="528">
        <v>5570</v>
      </c>
      <c r="D25" s="527">
        <v>13186</v>
      </c>
      <c r="E25" s="527">
        <f>SUM(D25,C25)</f>
        <v>18756</v>
      </c>
      <c r="F25" s="511">
        <f>E25/$E$28</f>
        <v>0.21658448711878889</v>
      </c>
      <c r="G25" s="11"/>
      <c r="H25" s="532"/>
      <c r="I25" s="11"/>
      <c r="J25" s="532"/>
      <c r="K25" s="11"/>
      <c r="L25" s="532"/>
      <c r="O25" s="528">
        <v>2786</v>
      </c>
      <c r="P25" s="511">
        <f t="shared" ref="P25:P27" si="13">O25/$O$28</f>
        <v>6.9571045038479107E-2</v>
      </c>
    </row>
    <row r="26" spans="1:18" x14ac:dyDescent="0.25">
      <c r="A26" s="240">
        <v>53000</v>
      </c>
      <c r="B26" s="242" t="s">
        <v>25</v>
      </c>
      <c r="C26" s="528">
        <v>9036</v>
      </c>
      <c r="D26" s="527">
        <v>17145</v>
      </c>
      <c r="E26" s="527">
        <f>SUM(D26,C26)</f>
        <v>26181</v>
      </c>
      <c r="F26" s="511">
        <f>E26/$E$28</f>
        <v>0.3023245072113997</v>
      </c>
      <c r="G26" s="11"/>
      <c r="H26" s="532"/>
      <c r="I26" s="11"/>
      <c r="J26" s="532"/>
      <c r="K26" s="11"/>
      <c r="L26" s="532"/>
      <c r="O26" s="528">
        <v>19688</v>
      </c>
      <c r="P26" s="511">
        <f t="shared" si="13"/>
        <v>0.4916420440479457</v>
      </c>
    </row>
    <row r="27" spans="1:18" ht="15" customHeight="1" thickBot="1" x14ac:dyDescent="0.3">
      <c r="A27" s="243">
        <v>54000</v>
      </c>
      <c r="B27" s="244" t="s">
        <v>197</v>
      </c>
      <c r="C27" s="534">
        <v>5950</v>
      </c>
      <c r="D27" s="529">
        <v>7019</v>
      </c>
      <c r="E27" s="529">
        <f>SUM(D27,C27)</f>
        <v>12969</v>
      </c>
      <c r="F27" s="518">
        <f>E27/$E$28</f>
        <v>0.14975923509509348</v>
      </c>
      <c r="G27" s="11"/>
      <c r="H27" s="532"/>
      <c r="I27" s="11"/>
      <c r="J27" s="532"/>
      <c r="K27" s="11"/>
      <c r="L27" s="532"/>
      <c r="O27" s="528">
        <v>3976.1442999999995</v>
      </c>
      <c r="P27" s="511">
        <f t="shared" si="13"/>
        <v>9.929092396797988E-2</v>
      </c>
    </row>
    <row r="28" spans="1:18" ht="15.75" thickBot="1" x14ac:dyDescent="0.3">
      <c r="A28" s="246">
        <v>2023</v>
      </c>
      <c r="B28" s="247" t="s">
        <v>102</v>
      </c>
      <c r="C28" s="531">
        <f t="shared" ref="C28:F28" si="14">SUM(C24:C27)</f>
        <v>28933</v>
      </c>
      <c r="D28" s="530">
        <f t="shared" si="14"/>
        <v>57666</v>
      </c>
      <c r="E28" s="530">
        <f t="shared" si="14"/>
        <v>86599</v>
      </c>
      <c r="F28" s="522">
        <f t="shared" si="14"/>
        <v>1</v>
      </c>
      <c r="G28" s="11"/>
      <c r="H28" s="532"/>
      <c r="I28" s="11"/>
      <c r="J28" s="532"/>
      <c r="K28" s="11"/>
      <c r="L28" s="532"/>
      <c r="O28" s="531">
        <f>SUM(O24:O27)</f>
        <v>40045.395300000004</v>
      </c>
      <c r="P28" s="522">
        <f>SUM(P24:P27)</f>
        <v>0.99999999999999989</v>
      </c>
    </row>
    <row r="29" spans="1:18" ht="15.75" thickBot="1" x14ac:dyDescent="0.3">
      <c r="G29" s="483"/>
      <c r="H29" s="533"/>
      <c r="I29" s="483"/>
      <c r="J29" s="533"/>
      <c r="K29" s="483"/>
      <c r="L29" s="533"/>
    </row>
    <row r="30" spans="1:18" x14ac:dyDescent="0.25">
      <c r="A30" s="245">
        <v>51000</v>
      </c>
      <c r="B30" s="241" t="s">
        <v>23</v>
      </c>
      <c r="O30" s="526">
        <v>17825.267329999999</v>
      </c>
      <c r="P30" s="507">
        <f>O30/$O$34</f>
        <v>0.35230509507731328</v>
      </c>
    </row>
    <row r="31" spans="1:18" x14ac:dyDescent="0.25">
      <c r="A31" s="240">
        <v>52000</v>
      </c>
      <c r="B31" s="242" t="s">
        <v>24</v>
      </c>
      <c r="O31" s="528">
        <v>2447</v>
      </c>
      <c r="P31" s="511">
        <f>O31/$O$34</f>
        <v>4.8363401888693341E-2</v>
      </c>
    </row>
    <row r="32" spans="1:18" x14ac:dyDescent="0.25">
      <c r="A32" s="240">
        <v>53000</v>
      </c>
      <c r="B32" s="242" t="s">
        <v>25</v>
      </c>
      <c r="O32" s="528">
        <v>26526</v>
      </c>
      <c r="P32" s="511">
        <f>O32/$O$34</f>
        <v>0.5242695539433917</v>
      </c>
    </row>
    <row r="33" spans="1:16" ht="15" customHeight="1" thickBot="1" x14ac:dyDescent="0.3">
      <c r="A33" s="243">
        <v>54000</v>
      </c>
      <c r="B33" s="244" t="s">
        <v>197</v>
      </c>
      <c r="O33" s="528">
        <v>3797.8426300000001</v>
      </c>
      <c r="P33" s="511">
        <f>O33/$O$34</f>
        <v>7.5061949090601585E-2</v>
      </c>
    </row>
    <row r="34" spans="1:16" ht="15.75" thickBot="1" x14ac:dyDescent="0.3">
      <c r="A34" s="246">
        <v>2022</v>
      </c>
      <c r="B34" s="247" t="s">
        <v>102</v>
      </c>
      <c r="O34" s="531">
        <f>SUM(O30:O33)</f>
        <v>50596.109960000002</v>
      </c>
      <c r="P34" s="522">
        <f>SUM(P30:P33)</f>
        <v>0.99999999999999989</v>
      </c>
    </row>
    <row r="35" spans="1:16" x14ac:dyDescent="0.25">
      <c r="I35" s="11"/>
    </row>
    <row r="37" spans="1:16" x14ac:dyDescent="0.25">
      <c r="A37" s="441"/>
    </row>
    <row r="38" spans="1:16" x14ac:dyDescent="0.25">
      <c r="A38" s="35"/>
    </row>
  </sheetData>
  <mergeCells count="12">
    <mergeCell ref="A3:B3"/>
    <mergeCell ref="A4:A5"/>
    <mergeCell ref="B4:B5"/>
    <mergeCell ref="C4:F4"/>
    <mergeCell ref="K4:L4"/>
    <mergeCell ref="G4:H4"/>
    <mergeCell ref="I4:J4"/>
    <mergeCell ref="A10:B10"/>
    <mergeCell ref="M4:N4"/>
    <mergeCell ref="O4:P4"/>
    <mergeCell ref="Q4:Q5"/>
    <mergeCell ref="R4:R5"/>
  </mergeCells>
  <pageMargins left="0.70866141732283472" right="0.70866141732283472" top="0.78740157480314965" bottom="0.78740157480314965" header="0.31496062992125984" footer="0.31496062992125984"/>
  <pageSetup paperSize="9" scale="52" orientation="landscape" r:id="rId1"/>
  <headerFooter>
    <oddHeader xml:space="preserve">&amp;LČ. j.: MSMT-5003/2026-1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D966"/>
  </sheetPr>
  <dimension ref="A1:K23"/>
  <sheetViews>
    <sheetView zoomScale="85" zoomScaleNormal="85" workbookViewId="0">
      <selection activeCell="Q27" sqref="Q27"/>
    </sheetView>
  </sheetViews>
  <sheetFormatPr defaultRowHeight="15" x14ac:dyDescent="0.25"/>
  <cols>
    <col min="1" max="1" width="10.5703125" customWidth="1"/>
    <col min="2" max="2" width="61.5703125" bestFit="1" customWidth="1"/>
    <col min="3" max="8" width="11" customWidth="1"/>
    <col min="9" max="10" width="15.85546875" customWidth="1"/>
  </cols>
  <sheetData>
    <row r="1" spans="1:11" ht="27.75" x14ac:dyDescent="0.25">
      <c r="A1" s="231" t="s">
        <v>278</v>
      </c>
    </row>
    <row r="2" spans="1:11" ht="15.75" thickBot="1" x14ac:dyDescent="0.3"/>
    <row r="3" spans="1:11" ht="15.75" customHeight="1" thickBot="1" x14ac:dyDescent="0.3">
      <c r="A3" s="859" t="s">
        <v>91</v>
      </c>
      <c r="B3" s="860"/>
      <c r="C3" s="232"/>
      <c r="D3" s="499">
        <v>0.4</v>
      </c>
      <c r="E3" s="232"/>
      <c r="F3" s="499">
        <v>0.2</v>
      </c>
      <c r="G3" s="232"/>
      <c r="H3" s="233">
        <v>0.4</v>
      </c>
      <c r="I3" s="535">
        <f>SUM(D3:H3)</f>
        <v>1</v>
      </c>
      <c r="J3" s="503">
        <v>1.3155031502482598E-2</v>
      </c>
    </row>
    <row r="4" spans="1:11" ht="30" customHeight="1" x14ac:dyDescent="0.25">
      <c r="A4" s="861" t="s">
        <v>2</v>
      </c>
      <c r="B4" s="863" t="s">
        <v>3</v>
      </c>
      <c r="C4" s="855" t="s">
        <v>103</v>
      </c>
      <c r="D4" s="856"/>
      <c r="E4" s="855" t="s">
        <v>92</v>
      </c>
      <c r="F4" s="856"/>
      <c r="G4" s="855" t="s">
        <v>104</v>
      </c>
      <c r="H4" s="868"/>
      <c r="I4" s="857" t="s">
        <v>97</v>
      </c>
      <c r="J4" s="857" t="s">
        <v>98</v>
      </c>
    </row>
    <row r="5" spans="1:11" ht="15.75" thickBot="1" x14ac:dyDescent="0.3">
      <c r="A5" s="862"/>
      <c r="B5" s="864"/>
      <c r="C5" s="238" t="s">
        <v>28</v>
      </c>
      <c r="D5" s="239" t="s">
        <v>101</v>
      </c>
      <c r="E5" s="248" t="s">
        <v>99</v>
      </c>
      <c r="F5" s="237" t="s">
        <v>101</v>
      </c>
      <c r="G5" s="238" t="s">
        <v>28</v>
      </c>
      <c r="H5" s="249" t="s">
        <v>101</v>
      </c>
      <c r="I5" s="858"/>
      <c r="J5" s="858"/>
    </row>
    <row r="6" spans="1:11" x14ac:dyDescent="0.25">
      <c r="A6" s="250">
        <v>55000</v>
      </c>
      <c r="B6" s="251" t="s">
        <v>26</v>
      </c>
      <c r="C6" s="536"/>
      <c r="D6" s="537">
        <f>D10</f>
        <v>0.49161133904442544</v>
      </c>
      <c r="E6" s="536"/>
      <c r="F6" s="537">
        <f>0.5*F10+0.3*F14+0.2*F18</f>
        <v>0.25164444017228216</v>
      </c>
      <c r="G6" s="536"/>
      <c r="H6" s="538">
        <f>H10</f>
        <v>0.57766367922300055</v>
      </c>
      <c r="I6" s="539" cm="1">
        <f t="array" ref="I6">SUM($C$3:$H$3*C6:H6)</f>
        <v>0.47803889534142685</v>
      </c>
      <c r="J6" s="539">
        <f>I6*$J$3</f>
        <v>6.2886167276284518E-3</v>
      </c>
    </row>
    <row r="7" spans="1:11" ht="15" customHeight="1" thickBot="1" x14ac:dyDescent="0.3">
      <c r="A7" s="252">
        <v>56000</v>
      </c>
      <c r="B7" s="253" t="s">
        <v>27</v>
      </c>
      <c r="C7" s="540"/>
      <c r="D7" s="541">
        <f>D11</f>
        <v>0.50838866095557445</v>
      </c>
      <c r="E7" s="542"/>
      <c r="F7" s="543">
        <f>0.5*F11+0.3*F15+0.2*F19</f>
        <v>0.74835555982771784</v>
      </c>
      <c r="G7" s="540"/>
      <c r="H7" s="544">
        <f>H11</f>
        <v>0.42233632077699945</v>
      </c>
      <c r="I7" s="545" cm="1">
        <f t="array" ref="I7">SUM($C$3:$H$3*C7:H7)</f>
        <v>0.52196110465857315</v>
      </c>
      <c r="J7" s="545">
        <f>I7*$J$3</f>
        <v>6.8664147748541465E-3</v>
      </c>
    </row>
    <row r="8" spans="1:11" ht="15.75" thickBot="1" x14ac:dyDescent="0.3">
      <c r="A8" s="869" t="s">
        <v>102</v>
      </c>
      <c r="B8" s="870"/>
      <c r="C8" s="546"/>
      <c r="D8" s="547">
        <f>SUM(D6:D7)</f>
        <v>0.99999999999999989</v>
      </c>
      <c r="E8" s="548"/>
      <c r="F8" s="549">
        <f>SUM(F6:F7)</f>
        <v>1</v>
      </c>
      <c r="G8" s="546"/>
      <c r="H8" s="549">
        <f>SUM(H6:H7)</f>
        <v>1</v>
      </c>
      <c r="I8" s="550">
        <f>SUM(I6:I7)</f>
        <v>1</v>
      </c>
      <c r="J8" s="550">
        <f>SUM(J6:J7)</f>
        <v>1.3155031502482598E-2</v>
      </c>
    </row>
    <row r="9" spans="1:11" ht="15.75" thickBot="1" x14ac:dyDescent="0.3">
      <c r="A9" s="274"/>
      <c r="B9" s="274"/>
      <c r="C9" s="483"/>
      <c r="D9" s="533"/>
      <c r="E9" s="483"/>
      <c r="F9" s="533"/>
      <c r="G9" s="483"/>
      <c r="H9" s="533"/>
      <c r="I9" s="632"/>
      <c r="J9" s="632"/>
    </row>
    <row r="10" spans="1:11" x14ac:dyDescent="0.25">
      <c r="A10" s="254">
        <v>55000</v>
      </c>
      <c r="B10" s="251" t="s">
        <v>26</v>
      </c>
      <c r="C10" s="536">
        <v>787.06986431607515</v>
      </c>
      <c r="D10" s="537">
        <f>C10/$C$12</f>
        <v>0.49161133904442544</v>
      </c>
      <c r="E10" s="536">
        <v>2046</v>
      </c>
      <c r="F10" s="537">
        <f>E10/$E$12</f>
        <v>0.23380185121700378</v>
      </c>
      <c r="G10" s="536">
        <v>581.09203581888323</v>
      </c>
      <c r="H10" s="537">
        <f>G10/$G$12</f>
        <v>0.57766367922300055</v>
      </c>
      <c r="I10" s="632"/>
      <c r="J10" s="632"/>
    </row>
    <row r="11" spans="1:11" ht="15" customHeight="1" thickBot="1" x14ac:dyDescent="0.3">
      <c r="A11" s="252">
        <v>56000</v>
      </c>
      <c r="B11" s="253" t="s">
        <v>27</v>
      </c>
      <c r="C11" s="540">
        <v>813.93036046708414</v>
      </c>
      <c r="D11" s="541">
        <f>C11/$C$12</f>
        <v>0.50838866095557445</v>
      </c>
      <c r="E11" s="542">
        <v>6705</v>
      </c>
      <c r="F11" s="543">
        <f>E11/$E$12</f>
        <v>0.76619814878299619</v>
      </c>
      <c r="G11" s="540">
        <v>424.84283029645582</v>
      </c>
      <c r="H11" s="541">
        <f>G11/$G$12</f>
        <v>0.42233632077699945</v>
      </c>
      <c r="I11" s="632"/>
      <c r="J11" s="632"/>
    </row>
    <row r="12" spans="1:11" ht="15.75" thickBot="1" x14ac:dyDescent="0.3">
      <c r="A12" s="255">
        <v>2025</v>
      </c>
      <c r="B12" s="256" t="s">
        <v>102</v>
      </c>
      <c r="C12" s="546">
        <f t="shared" ref="C12:H12" si="0">SUM(C10:C11)</f>
        <v>1601.0002247831594</v>
      </c>
      <c r="D12" s="547">
        <f t="shared" si="0"/>
        <v>0.99999999999999989</v>
      </c>
      <c r="E12" s="548">
        <f t="shared" si="0"/>
        <v>8751</v>
      </c>
      <c r="F12" s="549">
        <f t="shared" si="0"/>
        <v>1</v>
      </c>
      <c r="G12" s="546">
        <f t="shared" si="0"/>
        <v>1005.934866115339</v>
      </c>
      <c r="H12" s="547">
        <f t="shared" si="0"/>
        <v>1</v>
      </c>
      <c r="I12" s="632"/>
      <c r="J12" s="632"/>
    </row>
    <row r="13" spans="1:11" ht="15.75" thickBot="1" x14ac:dyDescent="0.3">
      <c r="A13" s="274"/>
      <c r="B13" s="274"/>
      <c r="C13" s="633"/>
      <c r="D13" s="634"/>
      <c r="E13" s="483"/>
      <c r="F13" s="533"/>
      <c r="G13" s="633"/>
      <c r="H13" s="634"/>
      <c r="I13" s="632"/>
      <c r="J13" s="632"/>
    </row>
    <row r="14" spans="1:11" x14ac:dyDescent="0.25">
      <c r="A14" s="254">
        <v>55000</v>
      </c>
      <c r="B14" s="251" t="s">
        <v>26</v>
      </c>
      <c r="C14" s="635"/>
      <c r="D14" s="636"/>
      <c r="E14" s="536">
        <v>3160</v>
      </c>
      <c r="F14" s="537">
        <f>E14/$E$16</f>
        <v>0.31136072519460045</v>
      </c>
      <c r="G14" s="635"/>
      <c r="H14" s="532"/>
    </row>
    <row r="15" spans="1:11" ht="15" customHeight="1" thickBot="1" x14ac:dyDescent="0.3">
      <c r="A15" s="252">
        <v>56000</v>
      </c>
      <c r="B15" s="253" t="s">
        <v>27</v>
      </c>
      <c r="C15" s="635"/>
      <c r="D15" s="636"/>
      <c r="E15" s="542">
        <v>6989</v>
      </c>
      <c r="F15" s="543">
        <f>E15/$E$16</f>
        <v>0.68863927480539955</v>
      </c>
      <c r="G15" s="635"/>
      <c r="H15" s="532"/>
      <c r="J15" s="484"/>
      <c r="K15" s="613"/>
    </row>
    <row r="16" spans="1:11" ht="15.75" thickBot="1" x14ac:dyDescent="0.3">
      <c r="A16" s="255">
        <v>2024</v>
      </c>
      <c r="B16" s="256" t="s">
        <v>102</v>
      </c>
      <c r="C16" s="637"/>
      <c r="D16" s="638"/>
      <c r="E16" s="548">
        <f t="shared" ref="E16:F16" si="1">SUM(E14:E15)</f>
        <v>10149</v>
      </c>
      <c r="F16" s="549">
        <f t="shared" si="1"/>
        <v>1</v>
      </c>
      <c r="G16" s="637"/>
      <c r="H16" s="533"/>
      <c r="J16" s="484"/>
      <c r="K16" s="613"/>
    </row>
    <row r="17" spans="1:8" ht="15.75" thickBot="1" x14ac:dyDescent="0.3">
      <c r="C17" s="11"/>
      <c r="E17" s="11"/>
      <c r="G17" s="11"/>
    </row>
    <row r="18" spans="1:8" x14ac:dyDescent="0.25">
      <c r="A18" s="254">
        <v>55000</v>
      </c>
      <c r="B18" s="251" t="s">
        <v>26</v>
      </c>
      <c r="C18" s="11"/>
      <c r="E18" s="536">
        <v>2526</v>
      </c>
      <c r="F18" s="537">
        <f>E18/$E$20</f>
        <v>0.20667648502700048</v>
      </c>
      <c r="G18" s="11"/>
    </row>
    <row r="19" spans="1:8" ht="15" customHeight="1" thickBot="1" x14ac:dyDescent="0.3">
      <c r="A19" s="252">
        <v>56000</v>
      </c>
      <c r="B19" s="253" t="s">
        <v>27</v>
      </c>
      <c r="E19" s="542">
        <v>9696</v>
      </c>
      <c r="F19" s="543">
        <f>E19/$E$20</f>
        <v>0.79332351497299947</v>
      </c>
    </row>
    <row r="20" spans="1:8" ht="15.75" thickBot="1" x14ac:dyDescent="0.3">
      <c r="A20" s="255">
        <v>2023</v>
      </c>
      <c r="B20" s="256" t="s">
        <v>102</v>
      </c>
      <c r="C20" s="551"/>
      <c r="D20" s="532"/>
      <c r="E20" s="546">
        <f t="shared" ref="E20:F20" si="2">SUM(E18:E19)</f>
        <v>12222</v>
      </c>
      <c r="F20" s="547">
        <f t="shared" si="2"/>
        <v>1</v>
      </c>
      <c r="H20" s="532"/>
    </row>
    <row r="21" spans="1:8" x14ac:dyDescent="0.25">
      <c r="D21" s="532"/>
      <c r="E21" s="11"/>
      <c r="H21" s="532"/>
    </row>
    <row r="22" spans="1:8" x14ac:dyDescent="0.25">
      <c r="E22" s="11"/>
    </row>
    <row r="23" spans="1:8" x14ac:dyDescent="0.25">
      <c r="A23" s="441"/>
    </row>
  </sheetData>
  <mergeCells count="9">
    <mergeCell ref="G4:H4"/>
    <mergeCell ref="I4:I5"/>
    <mergeCell ref="J4:J5"/>
    <mergeCell ref="A8:B8"/>
    <mergeCell ref="A3:B3"/>
    <mergeCell ref="A4:A5"/>
    <mergeCell ref="B4:B5"/>
    <mergeCell ref="C4:D4"/>
    <mergeCell ref="E4:F4"/>
  </mergeCells>
  <pageMargins left="0.70866141732283472" right="0.70866141732283472" top="0.78740157480314965" bottom="0.78740157480314965" header="0.31496062992125984" footer="0.31496062992125984"/>
  <pageSetup paperSize="9" scale="73" orientation="landscape" r:id="rId1"/>
  <headerFooter>
    <oddHeader xml:space="preserve">&amp;LČ. j.: MSMT-5003/2026-1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4B084"/>
    <pageSetUpPr fitToPage="1"/>
  </sheetPr>
  <dimension ref="A1:X91"/>
  <sheetViews>
    <sheetView zoomScale="85" zoomScaleNormal="85" workbookViewId="0">
      <selection activeCell="M30" sqref="M30"/>
    </sheetView>
  </sheetViews>
  <sheetFormatPr defaultRowHeight="15" x14ac:dyDescent="0.25"/>
  <cols>
    <col min="1" max="1" width="10.5703125" customWidth="1"/>
    <col min="2" max="2" width="52.28515625" customWidth="1"/>
    <col min="3" max="20" width="10.85546875" customWidth="1"/>
    <col min="21" max="22" width="15.7109375" customWidth="1"/>
    <col min="23" max="23" width="16.42578125" bestFit="1" customWidth="1"/>
  </cols>
  <sheetData>
    <row r="1" spans="1:24" ht="27.75" x14ac:dyDescent="0.25">
      <c r="A1" s="231" t="s">
        <v>279</v>
      </c>
    </row>
    <row r="2" spans="1:24" ht="15.75" thickBot="1" x14ac:dyDescent="0.3"/>
    <row r="3" spans="1:24" ht="15.75" customHeight="1" thickBot="1" x14ac:dyDescent="0.3">
      <c r="A3" s="859" t="s">
        <v>91</v>
      </c>
      <c r="B3" s="860"/>
      <c r="C3" s="232"/>
      <c r="D3" s="501">
        <v>0.15</v>
      </c>
      <c r="E3" s="500"/>
      <c r="F3" s="552"/>
      <c r="G3" s="552"/>
      <c r="H3" s="501">
        <v>0.22</v>
      </c>
      <c r="I3" s="500"/>
      <c r="J3" s="501">
        <v>0.1</v>
      </c>
      <c r="K3" s="500"/>
      <c r="L3" s="501">
        <v>0.3</v>
      </c>
      <c r="M3" s="500"/>
      <c r="N3" s="501">
        <v>0.03</v>
      </c>
      <c r="O3" s="500"/>
      <c r="P3" s="501">
        <v>3.5000000000000003E-2</v>
      </c>
      <c r="Q3" s="500"/>
      <c r="R3" s="501">
        <v>6.5000000000000002E-2</v>
      </c>
      <c r="S3" s="500"/>
      <c r="T3" s="501">
        <v>0.1</v>
      </c>
      <c r="U3" s="553">
        <f>SUM(C3:T3)</f>
        <v>1.0000000000000002</v>
      </c>
      <c r="V3" s="503">
        <v>0.38670456807660647</v>
      </c>
    </row>
    <row r="4" spans="1:24" ht="30" customHeight="1" x14ac:dyDescent="0.25">
      <c r="A4" s="861" t="s">
        <v>2</v>
      </c>
      <c r="B4" s="863" t="s">
        <v>3</v>
      </c>
      <c r="C4" s="855" t="s">
        <v>103</v>
      </c>
      <c r="D4" s="856"/>
      <c r="E4" s="872" t="s">
        <v>92</v>
      </c>
      <c r="F4" s="873"/>
      <c r="G4" s="873"/>
      <c r="H4" s="874"/>
      <c r="I4" s="855" t="s">
        <v>93</v>
      </c>
      <c r="J4" s="856"/>
      <c r="K4" s="861" t="s">
        <v>94</v>
      </c>
      <c r="L4" s="871"/>
      <c r="M4" s="861" t="s">
        <v>95</v>
      </c>
      <c r="N4" s="871"/>
      <c r="O4" s="861" t="s">
        <v>128</v>
      </c>
      <c r="P4" s="871"/>
      <c r="Q4" s="861" t="s">
        <v>96</v>
      </c>
      <c r="R4" s="871"/>
      <c r="S4" s="861" t="s">
        <v>105</v>
      </c>
      <c r="T4" s="871"/>
      <c r="U4" s="857" t="s">
        <v>97</v>
      </c>
      <c r="V4" s="857" t="s">
        <v>98</v>
      </c>
    </row>
    <row r="5" spans="1:24" ht="15.75" thickBot="1" x14ac:dyDescent="0.3">
      <c r="A5" s="862"/>
      <c r="B5" s="864"/>
      <c r="C5" s="238" t="s">
        <v>28</v>
      </c>
      <c r="D5" s="239" t="s">
        <v>101</v>
      </c>
      <c r="E5" s="234" t="s">
        <v>99</v>
      </c>
      <c r="F5" s="235" t="s">
        <v>100</v>
      </c>
      <c r="G5" s="236" t="s">
        <v>28</v>
      </c>
      <c r="H5" s="237" t="s">
        <v>101</v>
      </c>
      <c r="I5" s="238" t="s">
        <v>28</v>
      </c>
      <c r="J5" s="239" t="s">
        <v>101</v>
      </c>
      <c r="K5" s="238" t="s">
        <v>28</v>
      </c>
      <c r="L5" s="239" t="s">
        <v>101</v>
      </c>
      <c r="M5" s="238" t="s">
        <v>28</v>
      </c>
      <c r="N5" s="239" t="s">
        <v>101</v>
      </c>
      <c r="O5" s="238" t="s">
        <v>28</v>
      </c>
      <c r="P5" s="239" t="s">
        <v>101</v>
      </c>
      <c r="Q5" s="238" t="s">
        <v>28</v>
      </c>
      <c r="R5" s="239" t="s">
        <v>101</v>
      </c>
      <c r="S5" s="238" t="s">
        <v>28</v>
      </c>
      <c r="T5" s="239" t="s">
        <v>101</v>
      </c>
      <c r="U5" s="858"/>
      <c r="V5" s="858"/>
    </row>
    <row r="6" spans="1:24" x14ac:dyDescent="0.25">
      <c r="A6" s="257">
        <v>12000</v>
      </c>
      <c r="B6" s="258" t="s">
        <v>5</v>
      </c>
      <c r="C6" s="554"/>
      <c r="D6" s="555">
        <f>D23</f>
        <v>7.6861865610106425E-2</v>
      </c>
      <c r="E6" s="554"/>
      <c r="F6" s="556"/>
      <c r="G6" s="557"/>
      <c r="H6" s="555">
        <f>0.5*H23+0.3*H40+0.2*H57</f>
        <v>4.4747315887146422E-2</v>
      </c>
      <c r="I6" s="554"/>
      <c r="J6" s="555">
        <f>J23</f>
        <v>6.954259706704298E-2</v>
      </c>
      <c r="K6" s="554"/>
      <c r="L6" s="558">
        <f>L23</f>
        <v>0.1074308228762062</v>
      </c>
      <c r="M6" s="554"/>
      <c r="N6" s="555">
        <f>N23</f>
        <v>1.5190545016104669E-2</v>
      </c>
      <c r="O6" s="554"/>
      <c r="P6" s="558">
        <f>P23</f>
        <v>5.1842819051663783E-2</v>
      </c>
      <c r="Q6" s="554"/>
      <c r="R6" s="555">
        <f>0.5*R40+0.3*R57+0.2*R74</f>
        <v>7.4457561709073861E-2</v>
      </c>
      <c r="S6" s="554"/>
      <c r="T6" s="555">
        <f>0.5*T40+0.3*T57+0.2*T74</f>
        <v>9.4776220411620413E-2</v>
      </c>
      <c r="U6" s="559">
        <f t="array" ref="U6">SUM($C$3:$T$3*C6:T6)</f>
        <v>7.7144774475797553E-2</v>
      </c>
      <c r="V6" s="560">
        <f>U6*$V$3</f>
        <v>2.983223669303051E-2</v>
      </c>
      <c r="X6" s="613"/>
    </row>
    <row r="7" spans="1:24" ht="15" customHeight="1" x14ac:dyDescent="0.25">
      <c r="A7" s="257">
        <v>13000</v>
      </c>
      <c r="B7" s="259" t="s">
        <v>6</v>
      </c>
      <c r="C7" s="561"/>
      <c r="D7" s="562">
        <f t="shared" ref="D7:D20" si="0">D24</f>
        <v>5.2358525612552727E-2</v>
      </c>
      <c r="E7" s="556"/>
      <c r="F7" s="556"/>
      <c r="G7" s="556"/>
      <c r="H7" s="562">
        <f t="shared" ref="H7:H20" si="1">0.5*H24+0.3*H41+0.2*H58</f>
        <v>2.7176665031291319E-2</v>
      </c>
      <c r="I7" s="561"/>
      <c r="J7" s="562">
        <f t="shared" ref="J7:J20" si="2">J24</f>
        <v>5.6983924090808519E-2</v>
      </c>
      <c r="K7" s="561"/>
      <c r="L7" s="563">
        <f t="shared" ref="L7:L20" si="3">L24</f>
        <v>2.3690721575283357E-2</v>
      </c>
      <c r="M7" s="561"/>
      <c r="N7" s="562">
        <f t="shared" ref="N7:N20" si="4">N24</f>
        <v>0.17284294691004962</v>
      </c>
      <c r="O7" s="561"/>
      <c r="P7" s="563">
        <f t="shared" ref="P7:P20" si="5">P24</f>
        <v>3.0018355130224691E-3</v>
      </c>
      <c r="Q7" s="561"/>
      <c r="R7" s="562">
        <f t="shared" ref="R7:R20" si="6">0.5*R41+0.3*R58+0.2*R75</f>
        <v>1.6661257523051982E-2</v>
      </c>
      <c r="S7" s="561"/>
      <c r="T7" s="562">
        <f t="shared" ref="T7:T20" si="7">0.5*T41+0.3*T58+0.2*T75</f>
        <v>3.3421640360582885E-2</v>
      </c>
      <c r="U7" s="564">
        <f t="array" ref="U7">SUM($C$3:$T$3*C7:T7)</f>
        <v>3.6353752455746804E-2</v>
      </c>
      <c r="V7" s="565">
        <f t="shared" ref="V7:V20" si="8">U7*$V$3</f>
        <v>1.4058162141363439E-2</v>
      </c>
      <c r="X7" s="613"/>
    </row>
    <row r="8" spans="1:24" x14ac:dyDescent="0.25">
      <c r="A8" s="257">
        <v>16000</v>
      </c>
      <c r="B8" s="259" t="s">
        <v>193</v>
      </c>
      <c r="C8" s="561"/>
      <c r="D8" s="562">
        <f t="shared" si="0"/>
        <v>2.3908439251941759E-2</v>
      </c>
      <c r="E8" s="556"/>
      <c r="F8" s="556"/>
      <c r="G8" s="556"/>
      <c r="H8" s="563">
        <f t="shared" si="1"/>
        <v>7.2164177597739748E-3</v>
      </c>
      <c r="I8" s="561"/>
      <c r="J8" s="562">
        <f t="shared" si="2"/>
        <v>3.5460856973348685E-2</v>
      </c>
      <c r="K8" s="561"/>
      <c r="L8" s="563">
        <f t="shared" si="3"/>
        <v>1.750278675185064E-2</v>
      </c>
      <c r="M8" s="561"/>
      <c r="N8" s="562">
        <f t="shared" si="4"/>
        <v>0</v>
      </c>
      <c r="O8" s="561"/>
      <c r="P8" s="563">
        <f t="shared" si="5"/>
        <v>6.9889767100112105E-2</v>
      </c>
      <c r="Q8" s="561"/>
      <c r="R8" s="562">
        <f t="shared" si="6"/>
        <v>9.7812252701688744E-3</v>
      </c>
      <c r="S8" s="561"/>
      <c r="T8" s="562">
        <f t="shared" si="7"/>
        <v>2.0824743676951443E-2</v>
      </c>
      <c r="U8" s="565">
        <f t="array" ref="U8">SUM($C$3:$T$3*C8:T8)</f>
        <v>1.913519537659164E-2</v>
      </c>
      <c r="V8" s="565">
        <f t="shared" si="8"/>
        <v>7.3996674631663477E-3</v>
      </c>
      <c r="X8" s="613"/>
    </row>
    <row r="9" spans="1:24" x14ac:dyDescent="0.25">
      <c r="A9" s="257">
        <v>17000</v>
      </c>
      <c r="B9" s="259" t="s">
        <v>9</v>
      </c>
      <c r="C9" s="561"/>
      <c r="D9" s="562">
        <f t="shared" si="0"/>
        <v>8.2200187014133008E-2</v>
      </c>
      <c r="E9" s="556"/>
      <c r="F9" s="556"/>
      <c r="G9" s="556"/>
      <c r="H9" s="563">
        <f t="shared" si="1"/>
        <v>7.4318623293362196E-2</v>
      </c>
      <c r="I9" s="561"/>
      <c r="J9" s="562">
        <f t="shared" si="2"/>
        <v>7.9733246352571396E-2</v>
      </c>
      <c r="K9" s="561"/>
      <c r="L9" s="563">
        <f t="shared" si="3"/>
        <v>5.6060519890900481E-2</v>
      </c>
      <c r="M9" s="561"/>
      <c r="N9" s="562">
        <f t="shared" si="4"/>
        <v>0.12597553275356413</v>
      </c>
      <c r="O9" s="561"/>
      <c r="P9" s="563">
        <f t="shared" si="5"/>
        <v>8.4920033875685058E-2</v>
      </c>
      <c r="Q9" s="561"/>
      <c r="R9" s="562">
        <f t="shared" si="6"/>
        <v>3.3523340567407488E-2</v>
      </c>
      <c r="S9" s="561"/>
      <c r="T9" s="562">
        <f t="shared" si="7"/>
        <v>8.0510303784348092E-2</v>
      </c>
      <c r="U9" s="564">
        <f t="array" ref="U9">SUM($C$3:$T$3*C9:T9)</f>
        <v>7.0453120462759103E-2</v>
      </c>
      <c r="V9" s="565">
        <f t="shared" si="8"/>
        <v>2.7244543518200385E-2</v>
      </c>
      <c r="X9" s="613"/>
    </row>
    <row r="10" spans="1:24" x14ac:dyDescent="0.25">
      <c r="A10" s="257">
        <v>18000</v>
      </c>
      <c r="B10" s="259" t="s">
        <v>10</v>
      </c>
      <c r="C10" s="561"/>
      <c r="D10" s="562">
        <f t="shared" si="0"/>
        <v>4.7269085750629623E-2</v>
      </c>
      <c r="E10" s="556"/>
      <c r="F10" s="556"/>
      <c r="G10" s="556"/>
      <c r="H10" s="563">
        <f t="shared" si="1"/>
        <v>7.6681420187252922E-2</v>
      </c>
      <c r="I10" s="561"/>
      <c r="J10" s="562">
        <f t="shared" si="2"/>
        <v>4.7550021031851512E-2</v>
      </c>
      <c r="K10" s="561"/>
      <c r="L10" s="563">
        <f t="shared" si="3"/>
        <v>3.1315151644521935E-2</v>
      </c>
      <c r="M10" s="561"/>
      <c r="N10" s="562">
        <f t="shared" si="4"/>
        <v>5.1831340652124892E-2</v>
      </c>
      <c r="O10" s="561"/>
      <c r="P10" s="563">
        <f t="shared" si="5"/>
        <v>8.4001413480963155E-3</v>
      </c>
      <c r="Q10" s="561"/>
      <c r="R10" s="562">
        <f t="shared" si="6"/>
        <v>5.4842333231584488E-2</v>
      </c>
      <c r="S10" s="561"/>
      <c r="T10" s="562">
        <f t="shared" si="7"/>
        <v>5.7573981801765942E-2</v>
      </c>
      <c r="U10" s="564">
        <f t="array" ref="U10">SUM($C$3:$T$3*C10:T10)</f>
        <v>4.928091790730852E-2</v>
      </c>
      <c r="V10" s="565">
        <f t="shared" si="8"/>
        <v>1.9057156073764441E-2</v>
      </c>
      <c r="X10" s="613"/>
    </row>
    <row r="11" spans="1:24" x14ac:dyDescent="0.25">
      <c r="A11" s="257">
        <v>19000</v>
      </c>
      <c r="B11" s="259" t="s">
        <v>11</v>
      </c>
      <c r="C11" s="561"/>
      <c r="D11" s="562">
        <f t="shared" si="0"/>
        <v>3.0339362836585639E-2</v>
      </c>
      <c r="E11" s="556"/>
      <c r="F11" s="556"/>
      <c r="G11" s="556"/>
      <c r="H11" s="563">
        <f t="shared" si="1"/>
        <v>1.3579712398502169E-2</v>
      </c>
      <c r="I11" s="561"/>
      <c r="J11" s="562">
        <f t="shared" si="2"/>
        <v>3.6240955674834895E-2</v>
      </c>
      <c r="K11" s="561"/>
      <c r="L11" s="563">
        <f t="shared" si="3"/>
        <v>2.3886930721309232E-2</v>
      </c>
      <c r="M11" s="561"/>
      <c r="N11" s="562">
        <f t="shared" si="4"/>
        <v>0.10029504506609289</v>
      </c>
      <c r="O11" s="561"/>
      <c r="P11" s="563">
        <f t="shared" si="5"/>
        <v>1.2045879429399976E-2</v>
      </c>
      <c r="Q11" s="561"/>
      <c r="R11" s="562">
        <f t="shared" si="6"/>
        <v>5.2886816013228309E-3</v>
      </c>
      <c r="S11" s="561"/>
      <c r="T11" s="562">
        <f t="shared" si="7"/>
        <v>3.6884578051433352E-2</v>
      </c>
      <c r="U11" s="564">
        <f t="array" ref="U11">SUM($C$3:$T$3*C11:T11)</f>
        <v>2.5791295178275688E-2</v>
      </c>
      <c r="V11" s="565">
        <f t="shared" si="8"/>
        <v>9.9736116620513637E-3</v>
      </c>
      <c r="X11" s="613"/>
    </row>
    <row r="12" spans="1:24" x14ac:dyDescent="0.25">
      <c r="A12" s="257">
        <v>22000</v>
      </c>
      <c r="B12" s="259" t="s">
        <v>13</v>
      </c>
      <c r="C12" s="561"/>
      <c r="D12" s="562">
        <f t="shared" si="0"/>
        <v>3.8120293583536108E-2</v>
      </c>
      <c r="E12" s="556"/>
      <c r="F12" s="556"/>
      <c r="G12" s="556"/>
      <c r="H12" s="563">
        <f t="shared" si="1"/>
        <v>5.210808281767236E-2</v>
      </c>
      <c r="I12" s="561"/>
      <c r="J12" s="562">
        <f t="shared" si="2"/>
        <v>5.2305920373240375E-2</v>
      </c>
      <c r="K12" s="561"/>
      <c r="L12" s="563">
        <f t="shared" si="3"/>
        <v>0.14032624019579423</v>
      </c>
      <c r="M12" s="561"/>
      <c r="N12" s="562">
        <f t="shared" si="4"/>
        <v>1.0233918386440448E-3</v>
      </c>
      <c r="O12" s="561"/>
      <c r="P12" s="563">
        <f t="shared" si="5"/>
        <v>3.8898006273504142E-2</v>
      </c>
      <c r="Q12" s="561"/>
      <c r="R12" s="562">
        <f t="shared" si="6"/>
        <v>0.19041025159143415</v>
      </c>
      <c r="S12" s="561"/>
      <c r="T12" s="562">
        <f t="shared" si="7"/>
        <v>0.11344777383869528</v>
      </c>
      <c r="U12" s="564">
        <f t="array" ref="U12">SUM($C$3:$T$3*C12:T12)</f>
        <v>8.9623862065525348E-2</v>
      </c>
      <c r="V12" s="565">
        <f t="shared" si="8"/>
        <v>3.4657956869406335E-2</v>
      </c>
      <c r="X12" s="613"/>
    </row>
    <row r="13" spans="1:24" x14ac:dyDescent="0.25">
      <c r="A13" s="257">
        <v>23000</v>
      </c>
      <c r="B13" s="259" t="s">
        <v>14</v>
      </c>
      <c r="C13" s="561"/>
      <c r="D13" s="562">
        <f t="shared" si="0"/>
        <v>9.2922932550128776E-2</v>
      </c>
      <c r="E13" s="556"/>
      <c r="F13" s="556"/>
      <c r="G13" s="556"/>
      <c r="H13" s="563">
        <f t="shared" si="1"/>
        <v>7.5320297451017315E-2</v>
      </c>
      <c r="I13" s="561"/>
      <c r="J13" s="562">
        <f t="shared" si="2"/>
        <v>9.7421492986106972E-2</v>
      </c>
      <c r="K13" s="561"/>
      <c r="L13" s="563">
        <f t="shared" si="3"/>
        <v>0.1166150560450767</v>
      </c>
      <c r="M13" s="561"/>
      <c r="N13" s="562">
        <f t="shared" si="4"/>
        <v>0.24000442929065935</v>
      </c>
      <c r="O13" s="561"/>
      <c r="P13" s="563">
        <f t="shared" si="5"/>
        <v>7.2297142436623715E-3</v>
      </c>
      <c r="Q13" s="561"/>
      <c r="R13" s="562">
        <f t="shared" si="6"/>
        <v>9.7682274307755348E-2</v>
      </c>
      <c r="S13" s="561"/>
      <c r="T13" s="562">
        <f t="shared" si="7"/>
        <v>6.5087506825371108E-2</v>
      </c>
      <c r="U13" s="564">
        <f t="array" ref="U13">SUM($C$3:$T$3*C13:T13)</f>
        <v>9.5546842823665989E-2</v>
      </c>
      <c r="V13" s="565">
        <f t="shared" si="8"/>
        <v>3.6948400585209165E-2</v>
      </c>
      <c r="X13" s="613"/>
    </row>
    <row r="14" spans="1:24" x14ac:dyDescent="0.25">
      <c r="A14" s="257">
        <v>24000</v>
      </c>
      <c r="B14" s="259" t="s">
        <v>15</v>
      </c>
      <c r="C14" s="561"/>
      <c r="D14" s="562">
        <f t="shared" si="0"/>
        <v>4.1120892295758639E-2</v>
      </c>
      <c r="E14" s="556"/>
      <c r="F14" s="556"/>
      <c r="G14" s="556"/>
      <c r="H14" s="563">
        <f t="shared" si="1"/>
        <v>4.5647613079573372E-2</v>
      </c>
      <c r="I14" s="561"/>
      <c r="J14" s="562">
        <f t="shared" si="2"/>
        <v>4.4474060956991836E-2</v>
      </c>
      <c r="K14" s="561"/>
      <c r="L14" s="563">
        <f t="shared" si="3"/>
        <v>4.7431000888010826E-2</v>
      </c>
      <c r="M14" s="561"/>
      <c r="N14" s="562">
        <f t="shared" si="4"/>
        <v>3.5986364414599237E-2</v>
      </c>
      <c r="O14" s="561"/>
      <c r="P14" s="563">
        <f t="shared" si="5"/>
        <v>2.1606959359221307E-2</v>
      </c>
      <c r="Q14" s="561"/>
      <c r="R14" s="562">
        <f t="shared" si="6"/>
        <v>5.2798288054850491E-2</v>
      </c>
      <c r="S14" s="561"/>
      <c r="T14" s="562">
        <f t="shared" si="7"/>
        <v>5.2074890921030285E-2</v>
      </c>
      <c r="U14" s="564">
        <f t="array" ref="U14">SUM($C$3:$T$3*C14:T14)</f>
        <v>4.5362527409651403E-2</v>
      </c>
      <c r="V14" s="565">
        <f t="shared" si="8"/>
        <v>1.7541896568812467E-2</v>
      </c>
      <c r="X14" s="613"/>
    </row>
    <row r="15" spans="1:24" x14ac:dyDescent="0.25">
      <c r="A15" s="257">
        <v>25000</v>
      </c>
      <c r="B15" s="259" t="s">
        <v>16</v>
      </c>
      <c r="C15" s="561"/>
      <c r="D15" s="562">
        <f t="shared" si="0"/>
        <v>5.1564783774929797E-2</v>
      </c>
      <c r="E15" s="556"/>
      <c r="F15" s="556"/>
      <c r="G15" s="556"/>
      <c r="H15" s="563">
        <f t="shared" si="1"/>
        <v>4.2115813048816314E-2</v>
      </c>
      <c r="I15" s="561"/>
      <c r="J15" s="562">
        <f t="shared" si="2"/>
        <v>5.7423058112893603E-2</v>
      </c>
      <c r="K15" s="561"/>
      <c r="L15" s="563">
        <f t="shared" si="3"/>
        <v>9.1820665260032852E-2</v>
      </c>
      <c r="M15" s="561"/>
      <c r="N15" s="562">
        <f t="shared" si="4"/>
        <v>1.4411134446780363E-2</v>
      </c>
      <c r="O15" s="561"/>
      <c r="P15" s="563">
        <f t="shared" si="5"/>
        <v>8.6300538953258121E-3</v>
      </c>
      <c r="Q15" s="561"/>
      <c r="R15" s="562">
        <f t="shared" si="6"/>
        <v>4.5189883633613967E-2</v>
      </c>
      <c r="S15" s="561"/>
      <c r="T15" s="562">
        <f t="shared" si="7"/>
        <v>4.1162309898849961E-2</v>
      </c>
      <c r="U15" s="564">
        <f t="array" ref="U15">SUM($C$3:$T$3*C15:T15)</f>
        <v>5.8076661172087998E-2</v>
      </c>
      <c r="V15" s="565">
        <f t="shared" si="8"/>
        <v>2.245851017388371E-2</v>
      </c>
      <c r="X15" s="613"/>
    </row>
    <row r="16" spans="1:24" x14ac:dyDescent="0.25">
      <c r="A16" s="257">
        <v>27000</v>
      </c>
      <c r="B16" s="259" t="s">
        <v>18</v>
      </c>
      <c r="C16" s="561"/>
      <c r="D16" s="562">
        <f t="shared" si="0"/>
        <v>9.9436569835028896E-2</v>
      </c>
      <c r="E16" s="556"/>
      <c r="F16" s="556"/>
      <c r="G16" s="556"/>
      <c r="H16" s="563">
        <f t="shared" si="1"/>
        <v>7.3280546796553117E-2</v>
      </c>
      <c r="I16" s="561"/>
      <c r="J16" s="562">
        <f t="shared" si="2"/>
        <v>7.9091651929107457E-2</v>
      </c>
      <c r="K16" s="561"/>
      <c r="L16" s="563">
        <f t="shared" si="3"/>
        <v>9.9450685089406576E-2</v>
      </c>
      <c r="M16" s="561"/>
      <c r="N16" s="562">
        <f t="shared" si="4"/>
        <v>2.0571868679290263E-2</v>
      </c>
      <c r="O16" s="561"/>
      <c r="P16" s="563">
        <f t="shared" si="5"/>
        <v>5.6329803444674101E-2</v>
      </c>
      <c r="Q16" s="561"/>
      <c r="R16" s="562">
        <f t="shared" si="6"/>
        <v>0.17518096979386513</v>
      </c>
      <c r="S16" s="561"/>
      <c r="T16" s="562">
        <f t="shared" si="7"/>
        <v>8.2780211329671616E-2</v>
      </c>
      <c r="U16" s="564">
        <f t="array" ref="U16">SUM($C$3:$T$3*C16:T16)</f>
        <v>9.1035059840739424E-2</v>
      </c>
      <c r="V16" s="565">
        <f t="shared" si="8"/>
        <v>3.5203673495541161E-2</v>
      </c>
      <c r="X16" s="613"/>
    </row>
    <row r="17" spans="1:24" x14ac:dyDescent="0.25">
      <c r="A17" s="257">
        <v>28000</v>
      </c>
      <c r="B17" s="259" t="s">
        <v>19</v>
      </c>
      <c r="C17" s="561"/>
      <c r="D17" s="562">
        <f t="shared" si="0"/>
        <v>6.4672999726862204E-2</v>
      </c>
      <c r="E17" s="556"/>
      <c r="F17" s="556"/>
      <c r="G17" s="556"/>
      <c r="H17" s="563">
        <f t="shared" si="1"/>
        <v>5.1727313646798605E-2</v>
      </c>
      <c r="I17" s="561"/>
      <c r="J17" s="562">
        <f t="shared" si="2"/>
        <v>7.4526412537822662E-2</v>
      </c>
      <c r="K17" s="561"/>
      <c r="L17" s="563">
        <f t="shared" si="3"/>
        <v>4.5575593858761858E-2</v>
      </c>
      <c r="M17" s="561"/>
      <c r="N17" s="562">
        <f t="shared" si="4"/>
        <v>0.15719436175279305</v>
      </c>
      <c r="O17" s="561"/>
      <c r="P17" s="563">
        <f t="shared" si="5"/>
        <v>2.7123903152025779E-2</v>
      </c>
      <c r="Q17" s="561"/>
      <c r="R17" s="562">
        <f t="shared" si="6"/>
        <v>3.6143561156372933E-2</v>
      </c>
      <c r="S17" s="561"/>
      <c r="T17" s="562">
        <f t="shared" si="7"/>
        <v>7.6048737821916068E-2</v>
      </c>
      <c r="U17" s="564">
        <f t="array" ref="U17">SUM($C$3:$T$3*C17:T17)</f>
        <v>5.7825651092996387E-2</v>
      </c>
      <c r="V17" s="565">
        <f t="shared" si="8"/>
        <v>2.2361443429665714E-2</v>
      </c>
      <c r="X17" s="613"/>
    </row>
    <row r="18" spans="1:24" x14ac:dyDescent="0.25">
      <c r="A18" s="257">
        <v>31000</v>
      </c>
      <c r="B18" s="259" t="s">
        <v>20</v>
      </c>
      <c r="C18" s="561"/>
      <c r="D18" s="562">
        <f t="shared" si="0"/>
        <v>0.10527749076477362</v>
      </c>
      <c r="E18" s="556"/>
      <c r="F18" s="556"/>
      <c r="G18" s="556"/>
      <c r="H18" s="563">
        <f t="shared" si="1"/>
        <v>0.20211690739263985</v>
      </c>
      <c r="I18" s="561"/>
      <c r="J18" s="562">
        <f t="shared" si="2"/>
        <v>6.7629467804211613E-2</v>
      </c>
      <c r="K18" s="561"/>
      <c r="L18" s="563">
        <f t="shared" si="3"/>
        <v>2.5854959243549632E-2</v>
      </c>
      <c r="M18" s="561"/>
      <c r="N18" s="562">
        <f t="shared" si="4"/>
        <v>9.8504461998996026E-3</v>
      </c>
      <c r="O18" s="561"/>
      <c r="P18" s="563">
        <f t="shared" si="5"/>
        <v>0.22423427839559332</v>
      </c>
      <c r="Q18" s="561"/>
      <c r="R18" s="562">
        <f t="shared" si="6"/>
        <v>3.4634577878887081E-2</v>
      </c>
      <c r="S18" s="561"/>
      <c r="T18" s="562">
        <f t="shared" si="7"/>
        <v>4.8254095927770364E-2</v>
      </c>
      <c r="U18" s="564">
        <f t="array" ref="U18">SUM($C$3:$T$3*C18:T18)</f>
        <v>8.9997148079330305E-2</v>
      </c>
      <c r="V18" s="565">
        <f t="shared" si="8"/>
        <v>3.480230827614382E-2</v>
      </c>
      <c r="X18" s="613"/>
    </row>
    <row r="19" spans="1:24" x14ac:dyDescent="0.25">
      <c r="A19" s="257">
        <v>41000</v>
      </c>
      <c r="B19" s="259" t="s">
        <v>21</v>
      </c>
      <c r="C19" s="561"/>
      <c r="D19" s="562">
        <f t="shared" si="0"/>
        <v>0.12198806530292884</v>
      </c>
      <c r="E19" s="556"/>
      <c r="F19" s="556"/>
      <c r="G19" s="556"/>
      <c r="H19" s="563">
        <f t="shared" si="1"/>
        <v>0.14125822839495153</v>
      </c>
      <c r="I19" s="561"/>
      <c r="J19" s="562">
        <f t="shared" si="2"/>
        <v>0.12170559564631153</v>
      </c>
      <c r="K19" s="561"/>
      <c r="L19" s="563">
        <f t="shared" si="3"/>
        <v>0.10726989422847504</v>
      </c>
      <c r="M19" s="561"/>
      <c r="N19" s="562">
        <f t="shared" si="4"/>
        <v>1.2908067356956571E-2</v>
      </c>
      <c r="O19" s="561"/>
      <c r="P19" s="563">
        <f t="shared" si="5"/>
        <v>0.32464818373115745</v>
      </c>
      <c r="Q19" s="561"/>
      <c r="R19" s="562">
        <f t="shared" si="6"/>
        <v>0.11650866988880217</v>
      </c>
      <c r="S19" s="561"/>
      <c r="T19" s="562">
        <f t="shared" si="7"/>
        <v>0.12760667562748093</v>
      </c>
      <c r="U19" s="564">
        <f t="array" ref="U19">SUM($C$3:$T$3*C19:T19)</f>
        <v>0.12581020743232177</v>
      </c>
      <c r="V19" s="565">
        <f t="shared" si="8"/>
        <v>4.8651381924744254E-2</v>
      </c>
      <c r="X19" s="613"/>
    </row>
    <row r="20" spans="1:24" ht="15" customHeight="1" thickBot="1" x14ac:dyDescent="0.3">
      <c r="A20" s="260">
        <v>43000</v>
      </c>
      <c r="B20" s="261" t="s">
        <v>22</v>
      </c>
      <c r="C20" s="561"/>
      <c r="D20" s="562">
        <f t="shared" si="0"/>
        <v>7.1958506090103791E-2</v>
      </c>
      <c r="E20" s="566"/>
      <c r="F20" s="556"/>
      <c r="G20" s="567"/>
      <c r="H20" s="568">
        <f t="shared" si="1"/>
        <v>7.2705042814648541E-2</v>
      </c>
      <c r="I20" s="561"/>
      <c r="J20" s="562">
        <f t="shared" si="2"/>
        <v>7.9910738462855818E-2</v>
      </c>
      <c r="K20" s="561"/>
      <c r="L20" s="563">
        <f t="shared" si="3"/>
        <v>6.5768971730820303E-2</v>
      </c>
      <c r="M20" s="561"/>
      <c r="N20" s="562">
        <f t="shared" si="4"/>
        <v>4.1914525622441412E-2</v>
      </c>
      <c r="O20" s="561"/>
      <c r="P20" s="563">
        <f t="shared" si="5"/>
        <v>6.1198621186856046E-2</v>
      </c>
      <c r="Q20" s="561"/>
      <c r="R20" s="562">
        <f t="shared" si="6"/>
        <v>5.6897123791809244E-2</v>
      </c>
      <c r="S20" s="561"/>
      <c r="T20" s="562">
        <f t="shared" si="7"/>
        <v>6.9546329722512318E-2</v>
      </c>
      <c r="U20" s="564">
        <f t="array" ref="U20">SUM($C$3:$T$3*C20:T20)</f>
        <v>6.8562984227201959E-2</v>
      </c>
      <c r="V20" s="565">
        <f t="shared" si="8"/>
        <v>2.6513619201623314E-2</v>
      </c>
      <c r="X20" s="613"/>
    </row>
    <row r="21" spans="1:24" ht="15.75" thickBot="1" x14ac:dyDescent="0.3">
      <c r="A21" s="875" t="s">
        <v>102</v>
      </c>
      <c r="B21" s="876"/>
      <c r="C21" s="569"/>
      <c r="D21" s="570">
        <f>SUM(D6:D20)</f>
        <v>1</v>
      </c>
      <c r="E21" s="571"/>
      <c r="F21" s="571"/>
      <c r="G21" s="571"/>
      <c r="H21" s="572">
        <f>SUM(H6:H20)</f>
        <v>1</v>
      </c>
      <c r="I21" s="569"/>
      <c r="J21" s="570">
        <f>SUM(J6:J20)</f>
        <v>0.99999999999999989</v>
      </c>
      <c r="K21" s="569"/>
      <c r="L21" s="572">
        <f>SUM(L6:L20)</f>
        <v>0.99999999999999978</v>
      </c>
      <c r="M21" s="569"/>
      <c r="N21" s="570">
        <f>SUM(N6:N20)</f>
        <v>1</v>
      </c>
      <c r="O21" s="569"/>
      <c r="P21" s="572">
        <f>SUM(P6:P20)</f>
        <v>1</v>
      </c>
      <c r="Q21" s="569"/>
      <c r="R21" s="570">
        <f>SUM(R6:R20)</f>
        <v>1.0000000000000002</v>
      </c>
      <c r="S21" s="569"/>
      <c r="T21" s="570">
        <f>SUM(T6:T20)</f>
        <v>1</v>
      </c>
      <c r="U21" s="573">
        <f>SUM(U6:U20)</f>
        <v>1</v>
      </c>
      <c r="V21" s="574">
        <f>SUM(V6:V20)</f>
        <v>0.38670456807660647</v>
      </c>
    </row>
    <row r="22" spans="1:24" ht="15.75" thickBot="1" x14ac:dyDescent="0.3"/>
    <row r="23" spans="1:24" x14ac:dyDescent="0.25">
      <c r="A23" s="262">
        <v>12000</v>
      </c>
      <c r="B23" s="258" t="s">
        <v>5</v>
      </c>
      <c r="C23" s="575">
        <v>5222.4790336524366</v>
      </c>
      <c r="D23" s="555">
        <f>C23/$C$38</f>
        <v>7.6861865610106425E-2</v>
      </c>
      <c r="E23" s="575">
        <v>24311</v>
      </c>
      <c r="F23" s="576">
        <v>28724</v>
      </c>
      <c r="G23" s="576">
        <f>E23+F23</f>
        <v>53035</v>
      </c>
      <c r="H23" s="555">
        <f>G23/$G$38</f>
        <v>4.398419604337131E-2</v>
      </c>
      <c r="I23" s="575">
        <v>2463.0921440330112</v>
      </c>
      <c r="J23" s="555">
        <f>I23/$I$38</f>
        <v>6.954259706704298E-2</v>
      </c>
      <c r="K23" s="575"/>
      <c r="L23" s="558">
        <v>0.1074308228762062</v>
      </c>
      <c r="M23" s="575">
        <v>4307.5349999999999</v>
      </c>
      <c r="N23" s="555">
        <f>M23/$M$38</f>
        <v>1.5190545016104669E-2</v>
      </c>
      <c r="O23" s="575"/>
      <c r="P23" s="555">
        <v>5.1842819051663783E-2</v>
      </c>
    </row>
    <row r="24" spans="1:24" x14ac:dyDescent="0.25">
      <c r="A24" s="622">
        <v>13000</v>
      </c>
      <c r="B24" s="623" t="s">
        <v>6</v>
      </c>
      <c r="C24" s="577">
        <v>3557.5678533693622</v>
      </c>
      <c r="D24" s="624">
        <f t="shared" ref="D24:D37" si="9">C24/$C$38</f>
        <v>5.2358525612552727E-2</v>
      </c>
      <c r="E24" s="577">
        <v>16695</v>
      </c>
      <c r="F24" s="578">
        <v>14500</v>
      </c>
      <c r="G24" s="578">
        <f t="shared" ref="G24:G37" si="10">E24+F24</f>
        <v>31195</v>
      </c>
      <c r="H24" s="624">
        <f t="shared" ref="H24:H37" si="11">G24/$G$38</f>
        <v>2.5871349025605131E-2</v>
      </c>
      <c r="I24" s="577">
        <v>2018.2832060317244</v>
      </c>
      <c r="J24" s="624">
        <f t="shared" ref="J24:J37" si="12">I24/$I$38</f>
        <v>5.6983924090808519E-2</v>
      </c>
      <c r="K24" s="577"/>
      <c r="L24" s="625">
        <v>2.3690721575283357E-2</v>
      </c>
      <c r="M24" s="577">
        <v>49012.53</v>
      </c>
      <c r="N24" s="624">
        <f t="shared" ref="N24:N37" si="13">M24/$M$38</f>
        <v>0.17284294691004962</v>
      </c>
      <c r="O24" s="577"/>
      <c r="P24" s="624">
        <v>3.0018355130224691E-3</v>
      </c>
    </row>
    <row r="25" spans="1:24" x14ac:dyDescent="0.25">
      <c r="A25" s="263">
        <v>16000</v>
      </c>
      <c r="B25" s="259" t="s">
        <v>193</v>
      </c>
      <c r="C25" s="577">
        <v>1624.4898784267996</v>
      </c>
      <c r="D25" s="562">
        <f t="shared" si="9"/>
        <v>2.3908439251941759E-2</v>
      </c>
      <c r="E25" s="577">
        <v>2955</v>
      </c>
      <c r="F25" s="578">
        <v>5606</v>
      </c>
      <c r="G25" s="578">
        <f t="shared" si="10"/>
        <v>8561</v>
      </c>
      <c r="H25" s="562">
        <f t="shared" si="11"/>
        <v>7.1000038149769363E-3</v>
      </c>
      <c r="I25" s="577">
        <v>1255.9691745122698</v>
      </c>
      <c r="J25" s="562">
        <f t="shared" si="12"/>
        <v>3.5460856973348685E-2</v>
      </c>
      <c r="K25" s="577"/>
      <c r="L25" s="563">
        <v>1.750278675185064E-2</v>
      </c>
      <c r="M25" s="577">
        <v>0</v>
      </c>
      <c r="N25" s="562">
        <f t="shared" si="13"/>
        <v>0</v>
      </c>
      <c r="O25" s="577"/>
      <c r="P25" s="562">
        <v>6.9889767100112105E-2</v>
      </c>
    </row>
    <row r="26" spans="1:24" x14ac:dyDescent="0.25">
      <c r="A26" s="263">
        <v>17000</v>
      </c>
      <c r="B26" s="259" t="s">
        <v>9</v>
      </c>
      <c r="C26" s="577">
        <v>5585.1981972601579</v>
      </c>
      <c r="D26" s="562">
        <f t="shared" si="9"/>
        <v>8.2200187014133008E-2</v>
      </c>
      <c r="E26" s="577">
        <v>31239</v>
      </c>
      <c r="F26" s="578">
        <v>65749</v>
      </c>
      <c r="G26" s="578">
        <f t="shared" si="10"/>
        <v>96988</v>
      </c>
      <c r="H26" s="562">
        <f t="shared" si="11"/>
        <v>8.0436300666625757E-2</v>
      </c>
      <c r="I26" s="577">
        <v>2824.0293142911528</v>
      </c>
      <c r="J26" s="562">
        <f t="shared" si="12"/>
        <v>7.9733246352571396E-2</v>
      </c>
      <c r="K26" s="577"/>
      <c r="L26" s="563">
        <v>5.6060519890900481E-2</v>
      </c>
      <c r="M26" s="577">
        <v>35722.485000000001</v>
      </c>
      <c r="N26" s="562">
        <f t="shared" si="13"/>
        <v>0.12597553275356413</v>
      </c>
      <c r="O26" s="577"/>
      <c r="P26" s="562">
        <v>8.4920033875685058E-2</v>
      </c>
    </row>
    <row r="27" spans="1:24" x14ac:dyDescent="0.25">
      <c r="A27" s="263">
        <v>18000</v>
      </c>
      <c r="B27" s="259" t="s">
        <v>10</v>
      </c>
      <c r="C27" s="577">
        <v>3211.7592685666345</v>
      </c>
      <c r="D27" s="562">
        <f t="shared" si="9"/>
        <v>4.7269085750629623E-2</v>
      </c>
      <c r="E27" s="577">
        <v>36301</v>
      </c>
      <c r="F27" s="578">
        <v>51787</v>
      </c>
      <c r="G27" s="578">
        <f t="shared" si="10"/>
        <v>88088</v>
      </c>
      <c r="H27" s="562">
        <f t="shared" si="11"/>
        <v>7.3055149638323602E-2</v>
      </c>
      <c r="I27" s="577">
        <v>1684.1488266428639</v>
      </c>
      <c r="J27" s="562">
        <f t="shared" si="12"/>
        <v>4.7550021031851512E-2</v>
      </c>
      <c r="K27" s="577"/>
      <c r="L27" s="563">
        <v>3.1315151644521935E-2</v>
      </c>
      <c r="M27" s="577">
        <v>14697.65</v>
      </c>
      <c r="N27" s="562">
        <f t="shared" si="13"/>
        <v>5.1831340652124892E-2</v>
      </c>
      <c r="O27" s="577"/>
      <c r="P27" s="562">
        <v>8.4001413480963155E-3</v>
      </c>
    </row>
    <row r="28" spans="1:24" x14ac:dyDescent="0.25">
      <c r="A28" s="263">
        <v>19000</v>
      </c>
      <c r="B28" s="259" t="s">
        <v>11</v>
      </c>
      <c r="C28" s="577">
        <v>2061.4473126659127</v>
      </c>
      <c r="D28" s="562">
        <f t="shared" si="9"/>
        <v>3.0339362836585639E-2</v>
      </c>
      <c r="E28" s="577">
        <v>9331</v>
      </c>
      <c r="F28" s="578">
        <v>5805</v>
      </c>
      <c r="G28" s="578">
        <f t="shared" si="10"/>
        <v>15136</v>
      </c>
      <c r="H28" s="562">
        <f t="shared" si="11"/>
        <v>1.2552932804986672E-2</v>
      </c>
      <c r="I28" s="577">
        <v>1283.5990742318422</v>
      </c>
      <c r="J28" s="562">
        <f t="shared" si="12"/>
        <v>3.6240955674834895E-2</v>
      </c>
      <c r="K28" s="577"/>
      <c r="L28" s="563">
        <v>2.3886930721309232E-2</v>
      </c>
      <c r="M28" s="577">
        <v>28440.350000000002</v>
      </c>
      <c r="N28" s="562">
        <f t="shared" si="13"/>
        <v>0.10029504506609289</v>
      </c>
      <c r="O28" s="577"/>
      <c r="P28" s="562">
        <v>1.2045879429399976E-2</v>
      </c>
    </row>
    <row r="29" spans="1:24" x14ac:dyDescent="0.25">
      <c r="A29" s="263">
        <v>22000</v>
      </c>
      <c r="B29" s="259" t="s">
        <v>13</v>
      </c>
      <c r="C29" s="577">
        <v>2590.1327324862104</v>
      </c>
      <c r="D29" s="562">
        <f t="shared" si="9"/>
        <v>3.8120293583536108E-2</v>
      </c>
      <c r="E29" s="577">
        <v>27226</v>
      </c>
      <c r="F29" s="578">
        <v>35217</v>
      </c>
      <c r="G29" s="578">
        <f t="shared" si="10"/>
        <v>62443</v>
      </c>
      <c r="H29" s="562">
        <f t="shared" si="11"/>
        <v>5.1786653220255205E-2</v>
      </c>
      <c r="I29" s="577">
        <v>1852.5954881084044</v>
      </c>
      <c r="J29" s="562">
        <f t="shared" si="12"/>
        <v>5.2305920373240375E-2</v>
      </c>
      <c r="K29" s="577"/>
      <c r="L29" s="563">
        <v>0.14032624019579423</v>
      </c>
      <c r="M29" s="577">
        <v>290.20000000000005</v>
      </c>
      <c r="N29" s="562">
        <f t="shared" si="13"/>
        <v>1.0233918386440448E-3</v>
      </c>
      <c r="O29" s="577"/>
      <c r="P29" s="562">
        <v>3.8898006273504142E-2</v>
      </c>
    </row>
    <row r="30" spans="1:24" x14ac:dyDescent="0.25">
      <c r="A30" s="263">
        <v>23000</v>
      </c>
      <c r="B30" s="259" t="s">
        <v>14</v>
      </c>
      <c r="C30" s="577">
        <v>6313.7690340518802</v>
      </c>
      <c r="D30" s="562">
        <f t="shared" si="9"/>
        <v>9.2922932550128776E-2</v>
      </c>
      <c r="E30" s="577">
        <v>44984</v>
      </c>
      <c r="F30" s="578">
        <v>45343</v>
      </c>
      <c r="G30" s="578">
        <f t="shared" si="10"/>
        <v>90327</v>
      </c>
      <c r="H30" s="562">
        <f t="shared" si="11"/>
        <v>7.4912048194769501E-2</v>
      </c>
      <c r="I30" s="577">
        <v>3450.5198849952931</v>
      </c>
      <c r="J30" s="562">
        <f t="shared" si="12"/>
        <v>9.7421492986106972E-2</v>
      </c>
      <c r="K30" s="577"/>
      <c r="L30" s="563">
        <v>0.1166150560450767</v>
      </c>
      <c r="M30" s="577">
        <v>68057.3</v>
      </c>
      <c r="N30" s="562">
        <f t="shared" si="13"/>
        <v>0.24000442929065935</v>
      </c>
      <c r="O30" s="577"/>
      <c r="P30" s="562">
        <v>7.2297142436623715E-3</v>
      </c>
    </row>
    <row r="31" spans="1:24" x14ac:dyDescent="0.25">
      <c r="A31" s="263">
        <v>24000</v>
      </c>
      <c r="B31" s="259" t="s">
        <v>15</v>
      </c>
      <c r="C31" s="577">
        <v>2794.0122992726583</v>
      </c>
      <c r="D31" s="562">
        <f t="shared" si="9"/>
        <v>4.1120892295758639E-2</v>
      </c>
      <c r="E31" s="577">
        <v>25468</v>
      </c>
      <c r="F31" s="578">
        <v>34562</v>
      </c>
      <c r="G31" s="578">
        <f t="shared" si="10"/>
        <v>60030</v>
      </c>
      <c r="H31" s="562">
        <f t="shared" si="11"/>
        <v>4.9785449014491938E-2</v>
      </c>
      <c r="I31" s="577">
        <v>1575.203037798625</v>
      </c>
      <c r="J31" s="562">
        <f t="shared" si="12"/>
        <v>4.4474060956991836E-2</v>
      </c>
      <c r="K31" s="577"/>
      <c r="L31" s="563">
        <v>4.7431000888010826E-2</v>
      </c>
      <c r="M31" s="577">
        <v>10204.539999999999</v>
      </c>
      <c r="N31" s="562">
        <f t="shared" si="13"/>
        <v>3.5986364414599237E-2</v>
      </c>
      <c r="O31" s="577"/>
      <c r="P31" s="562">
        <v>2.1606959359221307E-2</v>
      </c>
    </row>
    <row r="32" spans="1:24" x14ac:dyDescent="0.25">
      <c r="A32" s="263">
        <v>25000</v>
      </c>
      <c r="B32" s="259" t="s">
        <v>16</v>
      </c>
      <c r="C32" s="577">
        <v>3503.636035917179</v>
      </c>
      <c r="D32" s="562">
        <f t="shared" si="9"/>
        <v>5.1564783774929797E-2</v>
      </c>
      <c r="E32" s="577">
        <v>28182</v>
      </c>
      <c r="F32" s="578">
        <v>27239</v>
      </c>
      <c r="G32" s="578">
        <f t="shared" si="10"/>
        <v>55421</v>
      </c>
      <c r="H32" s="562">
        <f t="shared" si="11"/>
        <v>4.5963007993206025E-2</v>
      </c>
      <c r="I32" s="577">
        <v>2033.8366596787407</v>
      </c>
      <c r="J32" s="562">
        <f t="shared" si="12"/>
        <v>5.7423058112893603E-2</v>
      </c>
      <c r="K32" s="577"/>
      <c r="L32" s="563">
        <v>9.1820665260032852E-2</v>
      </c>
      <c r="M32" s="577">
        <v>4086.52</v>
      </c>
      <c r="N32" s="562">
        <f t="shared" si="13"/>
        <v>1.4411134446780363E-2</v>
      </c>
      <c r="O32" s="577"/>
      <c r="P32" s="562">
        <v>8.6300538953258121E-3</v>
      </c>
    </row>
    <row r="33" spans="1:23" x14ac:dyDescent="0.25">
      <c r="A33" s="263">
        <v>27000</v>
      </c>
      <c r="B33" s="259" t="s">
        <v>18</v>
      </c>
      <c r="C33" s="577">
        <v>6756.3465578107462</v>
      </c>
      <c r="D33" s="562">
        <f t="shared" si="9"/>
        <v>9.9436569835028896E-2</v>
      </c>
      <c r="E33" s="577">
        <v>30522</v>
      </c>
      <c r="F33" s="578">
        <v>59731</v>
      </c>
      <c r="G33" s="578">
        <f t="shared" si="10"/>
        <v>90253</v>
      </c>
      <c r="H33" s="562">
        <f t="shared" si="11"/>
        <v>7.4850676826669016E-2</v>
      </c>
      <c r="I33" s="577">
        <v>2801.3050237018051</v>
      </c>
      <c r="J33" s="562">
        <f t="shared" si="12"/>
        <v>7.9091651929107457E-2</v>
      </c>
      <c r="K33" s="577"/>
      <c r="L33" s="563">
        <v>9.9450685089406576E-2</v>
      </c>
      <c r="M33" s="577">
        <v>5833.5</v>
      </c>
      <c r="N33" s="562">
        <f t="shared" si="13"/>
        <v>2.0571868679290263E-2</v>
      </c>
      <c r="O33" s="577"/>
      <c r="P33" s="562">
        <v>5.6329803444674101E-2</v>
      </c>
    </row>
    <row r="34" spans="1:23" x14ac:dyDescent="0.25">
      <c r="A34" s="263">
        <v>28000</v>
      </c>
      <c r="B34" s="259" t="s">
        <v>19</v>
      </c>
      <c r="C34" s="577">
        <v>4394.290750503681</v>
      </c>
      <c r="D34" s="562">
        <f t="shared" si="9"/>
        <v>6.4672999726862204E-2</v>
      </c>
      <c r="E34" s="577">
        <v>31245</v>
      </c>
      <c r="F34" s="578">
        <v>31488</v>
      </c>
      <c r="G34" s="578">
        <f t="shared" si="10"/>
        <v>62733</v>
      </c>
      <c r="H34" s="562">
        <f t="shared" si="11"/>
        <v>5.2027162635784149E-2</v>
      </c>
      <c r="I34" s="577">
        <v>2639.6112452905213</v>
      </c>
      <c r="J34" s="562">
        <f t="shared" si="12"/>
        <v>7.4526412537822662E-2</v>
      </c>
      <c r="K34" s="577"/>
      <c r="L34" s="563">
        <v>4.5575593858761858E-2</v>
      </c>
      <c r="M34" s="577">
        <v>44575.11</v>
      </c>
      <c r="N34" s="562">
        <f t="shared" si="13"/>
        <v>0.15719436175279305</v>
      </c>
      <c r="O34" s="577"/>
      <c r="P34" s="562">
        <v>2.7123903152025779E-2</v>
      </c>
    </row>
    <row r="35" spans="1:23" x14ac:dyDescent="0.25">
      <c r="A35" s="263">
        <v>31000</v>
      </c>
      <c r="B35" s="259" t="s">
        <v>20</v>
      </c>
      <c r="C35" s="577">
        <v>7153.2154973125562</v>
      </c>
      <c r="D35" s="562">
        <f t="shared" si="9"/>
        <v>0.10527749076477362</v>
      </c>
      <c r="E35" s="577">
        <v>129814</v>
      </c>
      <c r="F35" s="578">
        <v>110975</v>
      </c>
      <c r="G35" s="578">
        <f t="shared" si="10"/>
        <v>240789</v>
      </c>
      <c r="H35" s="562">
        <f t="shared" si="11"/>
        <v>0.19969662639930866</v>
      </c>
      <c r="I35" s="577">
        <v>2395.3320393412523</v>
      </c>
      <c r="J35" s="562">
        <f t="shared" si="12"/>
        <v>6.7629467804211613E-2</v>
      </c>
      <c r="K35" s="577"/>
      <c r="L35" s="563">
        <v>2.5854959243549632E-2</v>
      </c>
      <c r="M35" s="577">
        <v>2793.26</v>
      </c>
      <c r="N35" s="562">
        <f t="shared" si="13"/>
        <v>9.8504461998996026E-3</v>
      </c>
      <c r="O35" s="577"/>
      <c r="P35" s="562">
        <v>0.22423427839559332</v>
      </c>
    </row>
    <row r="36" spans="1:23" x14ac:dyDescent="0.25">
      <c r="A36" s="263">
        <v>41000</v>
      </c>
      <c r="B36" s="259" t="s">
        <v>21</v>
      </c>
      <c r="C36" s="577">
        <v>8288.6371329061476</v>
      </c>
      <c r="D36" s="562">
        <f t="shared" si="9"/>
        <v>0.12198806530292884</v>
      </c>
      <c r="E36" s="577">
        <v>58831</v>
      </c>
      <c r="F36" s="578">
        <v>108272</v>
      </c>
      <c r="G36" s="578">
        <f t="shared" si="10"/>
        <v>167103</v>
      </c>
      <c r="H36" s="562">
        <f t="shared" si="11"/>
        <v>0.13858567194183985</v>
      </c>
      <c r="I36" s="577">
        <v>4310.6255613705507</v>
      </c>
      <c r="J36" s="562">
        <f t="shared" si="12"/>
        <v>0.12170559564631153</v>
      </c>
      <c r="K36" s="577"/>
      <c r="L36" s="563">
        <v>0.10726989422847504</v>
      </c>
      <c r="M36" s="577">
        <v>3660.3</v>
      </c>
      <c r="N36" s="562">
        <f t="shared" si="13"/>
        <v>1.2908067356956571E-2</v>
      </c>
      <c r="O36" s="577"/>
      <c r="P36" s="562">
        <v>0.32464818373115745</v>
      </c>
    </row>
    <row r="37" spans="1:23" ht="15.75" thickBot="1" x14ac:dyDescent="0.3">
      <c r="A37" s="264">
        <v>43000</v>
      </c>
      <c r="B37" s="261" t="s">
        <v>22</v>
      </c>
      <c r="C37" s="577">
        <v>4889.313918749127</v>
      </c>
      <c r="D37" s="562">
        <f t="shared" si="9"/>
        <v>7.1958506090103791E-2</v>
      </c>
      <c r="E37" s="579">
        <v>30800</v>
      </c>
      <c r="F37" s="578">
        <v>52872</v>
      </c>
      <c r="G37" s="580">
        <f t="shared" si="10"/>
        <v>83672</v>
      </c>
      <c r="H37" s="568">
        <f t="shared" si="11"/>
        <v>6.9392771779786255E-2</v>
      </c>
      <c r="I37" s="577">
        <v>2830.315812651977</v>
      </c>
      <c r="J37" s="562">
        <f t="shared" si="12"/>
        <v>7.9910738462855818E-2</v>
      </c>
      <c r="K37" s="577"/>
      <c r="L37" s="563">
        <v>6.5768971730820303E-2</v>
      </c>
      <c r="M37" s="577">
        <v>11885.57</v>
      </c>
      <c r="N37" s="562">
        <f t="shared" si="13"/>
        <v>4.1914525622441412E-2</v>
      </c>
      <c r="O37" s="577"/>
      <c r="P37" s="562">
        <v>6.1198621186856046E-2</v>
      </c>
    </row>
    <row r="38" spans="1:23" ht="15.75" thickBot="1" x14ac:dyDescent="0.3">
      <c r="A38" s="399">
        <v>2025</v>
      </c>
      <c r="B38" s="265" t="s">
        <v>102</v>
      </c>
      <c r="C38" s="581">
        <f t="shared" ref="C38:J38" si="14">SUM(C23:C37)</f>
        <v>67946.2955029515</v>
      </c>
      <c r="D38" s="570">
        <f t="shared" si="14"/>
        <v>1</v>
      </c>
      <c r="E38" s="581">
        <f t="shared" si="14"/>
        <v>527904</v>
      </c>
      <c r="F38" s="582">
        <f t="shared" si="14"/>
        <v>677870</v>
      </c>
      <c r="G38" s="582">
        <f t="shared" si="14"/>
        <v>1205774</v>
      </c>
      <c r="H38" s="570">
        <f t="shared" si="14"/>
        <v>1</v>
      </c>
      <c r="I38" s="581">
        <f t="shared" si="14"/>
        <v>35418.46649268004</v>
      </c>
      <c r="J38" s="570">
        <f t="shared" si="14"/>
        <v>0.99999999999999989</v>
      </c>
      <c r="K38" s="581"/>
      <c r="L38" s="572">
        <f>SUM(L23:L37)</f>
        <v>0.99999999999999978</v>
      </c>
      <c r="M38" s="581">
        <f>SUM(M23:M37)</f>
        <v>283566.84999999998</v>
      </c>
      <c r="N38" s="570">
        <f>SUM(N23:N37)</f>
        <v>1</v>
      </c>
      <c r="O38" s="581">
        <f>SUM(O23:O37)</f>
        <v>0</v>
      </c>
      <c r="P38" s="570">
        <f>SUM(P23:P37)</f>
        <v>1</v>
      </c>
    </row>
    <row r="39" spans="1:23" ht="15.75" thickBot="1" x14ac:dyDescent="0.3">
      <c r="I39" s="639"/>
      <c r="J39" s="639"/>
    </row>
    <row r="40" spans="1:23" x14ac:dyDescent="0.25">
      <c r="A40" s="262">
        <v>12000</v>
      </c>
      <c r="B40" s="640" t="s">
        <v>5</v>
      </c>
      <c r="C40" s="11"/>
      <c r="D40" s="532"/>
      <c r="E40" s="575">
        <v>24019</v>
      </c>
      <c r="F40" s="576">
        <v>29553</v>
      </c>
      <c r="G40" s="576">
        <f>E40+F40</f>
        <v>53572</v>
      </c>
      <c r="H40" s="555">
        <f>G40/$G$55</f>
        <v>4.6801261498947297E-2</v>
      </c>
      <c r="I40" s="11"/>
      <c r="J40" s="532"/>
      <c r="K40" s="11"/>
      <c r="L40" s="532"/>
      <c r="M40" s="11"/>
      <c r="N40" s="532"/>
      <c r="O40" s="11"/>
      <c r="P40" s="532"/>
      <c r="Q40" s="575">
        <v>305884.02421</v>
      </c>
      <c r="R40" s="555">
        <f>Q40/$Q$55</f>
        <v>6.9784774659314347E-2</v>
      </c>
      <c r="S40" s="575">
        <v>104.19083333333333</v>
      </c>
      <c r="T40" s="555">
        <f>S40/$S$55</f>
        <v>9.2903202604015189E-2</v>
      </c>
      <c r="W40" s="613"/>
    </row>
    <row r="41" spans="1:23" s="780" customFormat="1" x14ac:dyDescent="0.25">
      <c r="A41" s="622">
        <v>13000</v>
      </c>
      <c r="B41" s="623" t="s">
        <v>6</v>
      </c>
      <c r="C41" s="635"/>
      <c r="D41" s="641"/>
      <c r="E41" s="577">
        <v>17027</v>
      </c>
      <c r="F41" s="578">
        <v>15158</v>
      </c>
      <c r="G41" s="578">
        <f t="shared" ref="G41:G54" si="15">E41+F41</f>
        <v>32185</v>
      </c>
      <c r="H41" s="624">
        <f t="shared" ref="H41:H54" si="16">G41/$G$55</f>
        <v>2.8117273974158492E-2</v>
      </c>
      <c r="I41" s="11"/>
      <c r="J41" s="641"/>
      <c r="K41" s="11"/>
      <c r="L41" s="641"/>
      <c r="M41" s="11"/>
      <c r="N41" s="641"/>
      <c r="O41" s="11"/>
      <c r="P41" s="641"/>
      <c r="Q41" s="577">
        <v>68035</v>
      </c>
      <c r="R41" s="562">
        <f t="shared" ref="R41:R54" si="17">Q41/$Q$55</f>
        <v>1.5521592395054006E-2</v>
      </c>
      <c r="S41" s="577">
        <v>36.5</v>
      </c>
      <c r="T41" s="562">
        <f t="shared" ref="T41:T54" si="18">S41/$S$55</f>
        <v>3.2545731582719735E-2</v>
      </c>
      <c r="U41"/>
      <c r="V41"/>
      <c r="W41" s="613"/>
    </row>
    <row r="42" spans="1:23" x14ac:dyDescent="0.25">
      <c r="A42" s="263">
        <v>16000</v>
      </c>
      <c r="B42" s="259" t="s">
        <v>193</v>
      </c>
      <c r="C42" s="635"/>
      <c r="D42" s="532"/>
      <c r="E42" s="577">
        <v>1931</v>
      </c>
      <c r="F42" s="578">
        <v>6280</v>
      </c>
      <c r="G42" s="578">
        <f t="shared" si="15"/>
        <v>8211</v>
      </c>
      <c r="H42" s="562">
        <f t="shared" si="16"/>
        <v>7.1732464378379797E-3</v>
      </c>
      <c r="I42" s="11"/>
      <c r="J42" s="532"/>
      <c r="K42" s="11"/>
      <c r="L42" s="532"/>
      <c r="M42" s="11"/>
      <c r="N42" s="532"/>
      <c r="O42" s="11"/>
      <c r="P42" s="532"/>
      <c r="Q42" s="577">
        <v>34976.066100000011</v>
      </c>
      <c r="R42" s="562">
        <f t="shared" si="17"/>
        <v>7.979484700325808E-3</v>
      </c>
      <c r="S42" s="577">
        <v>19.630000000000003</v>
      </c>
      <c r="T42" s="562">
        <f t="shared" si="18"/>
        <v>1.7503361944350367E-2</v>
      </c>
      <c r="W42" s="613"/>
    </row>
    <row r="43" spans="1:23" x14ac:dyDescent="0.25">
      <c r="A43" s="263">
        <v>17000</v>
      </c>
      <c r="B43" s="259" t="s">
        <v>9</v>
      </c>
      <c r="C43" s="635"/>
      <c r="D43" s="532"/>
      <c r="E43" s="577">
        <v>29951</v>
      </c>
      <c r="F43" s="578">
        <v>50770</v>
      </c>
      <c r="G43" s="578">
        <f t="shared" si="15"/>
        <v>80721</v>
      </c>
      <c r="H43" s="562">
        <f t="shared" si="16"/>
        <v>7.0519014213703518E-2</v>
      </c>
      <c r="I43" s="11"/>
      <c r="J43" s="532"/>
      <c r="K43" s="11"/>
      <c r="L43" s="532"/>
      <c r="M43" s="11"/>
      <c r="N43" s="532"/>
      <c r="O43" s="11"/>
      <c r="P43" s="532"/>
      <c r="Q43" s="577">
        <v>138131</v>
      </c>
      <c r="R43" s="562">
        <f t="shared" si="17"/>
        <v>3.1513383980615928E-2</v>
      </c>
      <c r="S43" s="577">
        <v>89.394000000000005</v>
      </c>
      <c r="T43" s="562">
        <f t="shared" si="18"/>
        <v>7.9709400797415009E-2</v>
      </c>
      <c r="W43" s="613"/>
    </row>
    <row r="44" spans="1:23" x14ac:dyDescent="0.25">
      <c r="A44" s="263">
        <v>18000</v>
      </c>
      <c r="B44" s="259" t="s">
        <v>10</v>
      </c>
      <c r="C44" s="635"/>
      <c r="D44" s="532"/>
      <c r="E44" s="577">
        <v>32716</v>
      </c>
      <c r="F44" s="578">
        <v>46681</v>
      </c>
      <c r="G44" s="578">
        <f t="shared" si="15"/>
        <v>79397</v>
      </c>
      <c r="H44" s="562">
        <f t="shared" si="16"/>
        <v>6.9362348973940086E-2</v>
      </c>
      <c r="I44" s="11"/>
      <c r="J44" s="532"/>
      <c r="K44" s="11"/>
      <c r="L44" s="532"/>
      <c r="M44" s="11"/>
      <c r="N44" s="532"/>
      <c r="O44" s="11"/>
      <c r="P44" s="532"/>
      <c r="Q44" s="577">
        <v>251366</v>
      </c>
      <c r="R44" s="562">
        <f t="shared" si="17"/>
        <v>5.7346962504227897E-2</v>
      </c>
      <c r="S44" s="577">
        <v>62.594000000000001</v>
      </c>
      <c r="T44" s="562">
        <f t="shared" si="18"/>
        <v>5.5812808840787917E-2</v>
      </c>
      <c r="W44" s="613"/>
    </row>
    <row r="45" spans="1:23" x14ac:dyDescent="0.25">
      <c r="A45" s="263">
        <v>19000</v>
      </c>
      <c r="B45" s="259" t="s">
        <v>11</v>
      </c>
      <c r="C45" s="635"/>
      <c r="D45" s="532"/>
      <c r="E45" s="577">
        <v>12025</v>
      </c>
      <c r="F45" s="578">
        <v>6089</v>
      </c>
      <c r="G45" s="578">
        <f t="shared" si="15"/>
        <v>18114</v>
      </c>
      <c r="H45" s="562">
        <f t="shared" si="16"/>
        <v>1.5824648151869097E-2</v>
      </c>
      <c r="I45" s="11"/>
      <c r="J45" s="532"/>
      <c r="K45" s="11"/>
      <c r="L45" s="532"/>
      <c r="M45" s="11"/>
      <c r="N45" s="532"/>
      <c r="O45" s="11"/>
      <c r="P45" s="532"/>
      <c r="Q45" s="577">
        <v>22869</v>
      </c>
      <c r="R45" s="562">
        <f t="shared" si="17"/>
        <v>5.2173630702210634E-3</v>
      </c>
      <c r="S45" s="577">
        <v>39.814</v>
      </c>
      <c r="T45" s="562">
        <f t="shared" si="18"/>
        <v>3.5500705677654891E-2</v>
      </c>
      <c r="W45" s="613"/>
    </row>
    <row r="46" spans="1:23" x14ac:dyDescent="0.25">
      <c r="A46" s="263">
        <v>22000</v>
      </c>
      <c r="B46" s="259" t="s">
        <v>13</v>
      </c>
      <c r="C46" s="635"/>
      <c r="D46" s="532"/>
      <c r="E46" s="577">
        <v>20650</v>
      </c>
      <c r="F46" s="578">
        <v>39650</v>
      </c>
      <c r="G46" s="578">
        <f t="shared" si="15"/>
        <v>60300</v>
      </c>
      <c r="H46" s="562">
        <f t="shared" si="16"/>
        <v>5.2678938034542704E-2</v>
      </c>
      <c r="I46" s="11"/>
      <c r="J46" s="532"/>
      <c r="K46" s="11"/>
      <c r="L46" s="532"/>
      <c r="M46" s="11"/>
      <c r="N46" s="532"/>
      <c r="O46" s="11"/>
      <c r="P46" s="532"/>
      <c r="Q46" s="577">
        <v>864544.06324000005</v>
      </c>
      <c r="R46" s="562">
        <f t="shared" si="17"/>
        <v>0.19723819441721283</v>
      </c>
      <c r="S46" s="577">
        <v>142.08000000000001</v>
      </c>
      <c r="T46" s="562">
        <f t="shared" si="18"/>
        <v>0.12668760392528275</v>
      </c>
      <c r="W46" s="613"/>
    </row>
    <row r="47" spans="1:23" x14ac:dyDescent="0.25">
      <c r="A47" s="263">
        <v>23000</v>
      </c>
      <c r="B47" s="259" t="s">
        <v>14</v>
      </c>
      <c r="C47" s="635"/>
      <c r="D47" s="532"/>
      <c r="E47" s="577">
        <v>47163</v>
      </c>
      <c r="F47" s="578">
        <v>42065</v>
      </c>
      <c r="G47" s="578">
        <f t="shared" si="15"/>
        <v>89228</v>
      </c>
      <c r="H47" s="562">
        <f t="shared" si="16"/>
        <v>7.7950850463452348E-2</v>
      </c>
      <c r="I47" s="11"/>
      <c r="J47" s="532"/>
      <c r="K47" s="11"/>
      <c r="L47" s="532"/>
      <c r="M47" s="11"/>
      <c r="N47" s="532"/>
      <c r="O47" s="11"/>
      <c r="P47" s="532"/>
      <c r="Q47" s="577">
        <v>461153</v>
      </c>
      <c r="R47" s="562">
        <f t="shared" si="17"/>
        <v>0.10520803847661263</v>
      </c>
      <c r="S47" s="577">
        <v>76.471999999999994</v>
      </c>
      <c r="T47" s="562">
        <f t="shared" si="18"/>
        <v>6.8187320153253239E-2</v>
      </c>
      <c r="W47" s="613"/>
    </row>
    <row r="48" spans="1:23" x14ac:dyDescent="0.25">
      <c r="A48" s="263">
        <v>24000</v>
      </c>
      <c r="B48" s="259" t="s">
        <v>15</v>
      </c>
      <c r="C48" s="635"/>
      <c r="D48" s="532"/>
      <c r="E48" s="577">
        <v>20595</v>
      </c>
      <c r="F48" s="578">
        <v>26705</v>
      </c>
      <c r="G48" s="578">
        <f t="shared" si="15"/>
        <v>47300</v>
      </c>
      <c r="H48" s="562">
        <f t="shared" si="16"/>
        <v>4.1321953051971311E-2</v>
      </c>
      <c r="I48" s="11"/>
      <c r="J48" s="532"/>
      <c r="K48" s="11"/>
      <c r="L48" s="532"/>
      <c r="M48" s="11"/>
      <c r="N48" s="532"/>
      <c r="O48" s="11"/>
      <c r="P48" s="532"/>
      <c r="Q48" s="577">
        <v>225486.37656</v>
      </c>
      <c r="R48" s="562">
        <f t="shared" si="17"/>
        <v>5.1442751930653043E-2</v>
      </c>
      <c r="S48" s="577">
        <v>54.18</v>
      </c>
      <c r="T48" s="562">
        <f t="shared" si="18"/>
        <v>4.8310348963061786E-2</v>
      </c>
      <c r="W48" s="613"/>
    </row>
    <row r="49" spans="1:23" x14ac:dyDescent="0.25">
      <c r="A49" s="263">
        <v>25000</v>
      </c>
      <c r="B49" s="259" t="s">
        <v>16</v>
      </c>
      <c r="C49" s="635"/>
      <c r="D49" s="532"/>
      <c r="E49" s="577">
        <v>22330</v>
      </c>
      <c r="F49" s="578">
        <v>22894</v>
      </c>
      <c r="G49" s="578">
        <f t="shared" si="15"/>
        <v>45224</v>
      </c>
      <c r="H49" s="562">
        <f t="shared" si="16"/>
        <v>3.9508329911677603E-2</v>
      </c>
      <c r="I49" s="11"/>
      <c r="J49" s="532"/>
      <c r="K49" s="11"/>
      <c r="L49" s="532"/>
      <c r="M49" s="11"/>
      <c r="N49" s="532"/>
      <c r="O49" s="11"/>
      <c r="P49" s="532"/>
      <c r="Q49" s="577">
        <v>188549.77281999998</v>
      </c>
      <c r="R49" s="562">
        <f t="shared" si="17"/>
        <v>4.3015987651827327E-2</v>
      </c>
      <c r="S49" s="577">
        <v>44.21</v>
      </c>
      <c r="T49" s="562">
        <f t="shared" si="18"/>
        <v>3.9420460089644914E-2</v>
      </c>
      <c r="W49" s="613"/>
    </row>
    <row r="50" spans="1:23" x14ac:dyDescent="0.25">
      <c r="A50" s="263">
        <v>27000</v>
      </c>
      <c r="B50" s="259" t="s">
        <v>18</v>
      </c>
      <c r="C50" s="635"/>
      <c r="D50" s="532"/>
      <c r="E50" s="577">
        <v>23955</v>
      </c>
      <c r="F50" s="578">
        <v>61308</v>
      </c>
      <c r="G50" s="578">
        <f t="shared" si="15"/>
        <v>85263</v>
      </c>
      <c r="H50" s="562">
        <f t="shared" si="16"/>
        <v>7.4486970043768072E-2</v>
      </c>
      <c r="I50" s="11"/>
      <c r="J50" s="532"/>
      <c r="K50" s="11"/>
      <c r="L50" s="532"/>
      <c r="M50" s="11"/>
      <c r="N50" s="532"/>
      <c r="O50" s="11"/>
      <c r="P50" s="532"/>
      <c r="Q50" s="577">
        <v>720008</v>
      </c>
      <c r="R50" s="562">
        <f t="shared" si="17"/>
        <v>0.16426355107191951</v>
      </c>
      <c r="S50" s="577">
        <v>104.08199999999999</v>
      </c>
      <c r="T50" s="562">
        <f t="shared" si="18"/>
        <v>9.2806159851853018E-2</v>
      </c>
      <c r="W50" s="613"/>
    </row>
    <row r="51" spans="1:23" x14ac:dyDescent="0.25">
      <c r="A51" s="263">
        <v>28000</v>
      </c>
      <c r="B51" s="259" t="s">
        <v>19</v>
      </c>
      <c r="C51" s="635"/>
      <c r="D51" s="532"/>
      <c r="E51" s="577">
        <v>26627</v>
      </c>
      <c r="F51" s="578">
        <v>29608</v>
      </c>
      <c r="G51" s="578">
        <f t="shared" si="15"/>
        <v>56235</v>
      </c>
      <c r="H51" s="562">
        <f t="shared" si="16"/>
        <v>4.9127696191915572E-2</v>
      </c>
      <c r="I51" s="11"/>
      <c r="J51" s="532"/>
      <c r="K51" s="11"/>
      <c r="L51" s="532"/>
      <c r="M51" s="11"/>
      <c r="N51" s="532"/>
      <c r="O51" s="11"/>
      <c r="P51" s="532"/>
      <c r="Q51" s="577">
        <v>162120</v>
      </c>
      <c r="R51" s="562">
        <f t="shared" si="17"/>
        <v>3.6986265291190645E-2</v>
      </c>
      <c r="S51" s="577">
        <v>86.259999999999991</v>
      </c>
      <c r="T51" s="562">
        <f t="shared" si="18"/>
        <v>7.6914926200695996E-2</v>
      </c>
      <c r="W51" s="613"/>
    </row>
    <row r="52" spans="1:23" x14ac:dyDescent="0.25">
      <c r="A52" s="263">
        <v>31000</v>
      </c>
      <c r="B52" s="259" t="s">
        <v>20</v>
      </c>
      <c r="C52" s="635"/>
      <c r="D52" s="532"/>
      <c r="E52" s="577">
        <v>124307</v>
      </c>
      <c r="F52" s="578">
        <v>112400</v>
      </c>
      <c r="G52" s="578">
        <f t="shared" si="15"/>
        <v>236707</v>
      </c>
      <c r="H52" s="562">
        <f t="shared" si="16"/>
        <v>0.20679060340534827</v>
      </c>
      <c r="I52" s="11"/>
      <c r="J52" s="532"/>
      <c r="K52" s="11"/>
      <c r="L52" s="532"/>
      <c r="M52" s="11"/>
      <c r="N52" s="532"/>
      <c r="O52" s="11"/>
      <c r="P52" s="532"/>
      <c r="Q52" s="577">
        <v>178637.74416999999</v>
      </c>
      <c r="R52" s="562">
        <f t="shared" si="17"/>
        <v>4.0754644688449693E-2</v>
      </c>
      <c r="S52" s="577">
        <v>54.6</v>
      </c>
      <c r="T52" s="562">
        <f t="shared" si="18"/>
        <v>4.8684847792232804E-2</v>
      </c>
      <c r="W52" s="613"/>
    </row>
    <row r="53" spans="1:23" x14ac:dyDescent="0.25">
      <c r="A53" s="263">
        <v>41000</v>
      </c>
      <c r="B53" s="259" t="s">
        <v>21</v>
      </c>
      <c r="C53" s="635"/>
      <c r="D53" s="532"/>
      <c r="E53" s="577">
        <v>55042</v>
      </c>
      <c r="F53" s="578">
        <v>109539</v>
      </c>
      <c r="G53" s="578">
        <f t="shared" si="15"/>
        <v>164581</v>
      </c>
      <c r="H53" s="562">
        <f t="shared" si="16"/>
        <v>0.14378030349358331</v>
      </c>
      <c r="I53" s="11"/>
      <c r="J53" s="532"/>
      <c r="K53" s="11"/>
      <c r="L53" s="532"/>
      <c r="M53" s="11"/>
      <c r="N53" s="532"/>
      <c r="O53" s="11"/>
      <c r="P53" s="532"/>
      <c r="Q53" s="577">
        <v>496980</v>
      </c>
      <c r="R53" s="562">
        <f t="shared" si="17"/>
        <v>0.11338165633121099</v>
      </c>
      <c r="S53" s="577">
        <v>129.649</v>
      </c>
      <c r="T53" s="562">
        <f t="shared" si="18"/>
        <v>0.11560333024569946</v>
      </c>
      <c r="W53" s="613"/>
    </row>
    <row r="54" spans="1:23" ht="15.75" thickBot="1" x14ac:dyDescent="0.3">
      <c r="A54" s="264">
        <v>43000</v>
      </c>
      <c r="B54" s="261" t="s">
        <v>22</v>
      </c>
      <c r="C54" s="635"/>
      <c r="D54" s="532"/>
      <c r="E54" s="579">
        <v>30923</v>
      </c>
      <c r="F54" s="578">
        <v>56709</v>
      </c>
      <c r="G54" s="580">
        <f t="shared" si="15"/>
        <v>87632</v>
      </c>
      <c r="H54" s="568">
        <f t="shared" si="16"/>
        <v>7.6556562153284352E-2</v>
      </c>
      <c r="I54" s="11"/>
      <c r="J54" s="532"/>
      <c r="K54" s="11"/>
      <c r="L54" s="532"/>
      <c r="M54" s="11"/>
      <c r="N54" s="532"/>
      <c r="O54" s="11"/>
      <c r="P54" s="532"/>
      <c r="Q54" s="577">
        <v>264508.67303000001</v>
      </c>
      <c r="R54" s="562">
        <f t="shared" si="17"/>
        <v>6.0345348831164471E-2</v>
      </c>
      <c r="S54" s="577">
        <v>77.842999999999989</v>
      </c>
      <c r="T54" s="562">
        <f t="shared" si="18"/>
        <v>6.9409791331332932E-2</v>
      </c>
      <c r="W54" s="613"/>
    </row>
    <row r="55" spans="1:23" ht="15.75" thickBot="1" x14ac:dyDescent="0.3">
      <c r="A55" s="399">
        <v>2024</v>
      </c>
      <c r="B55" s="642" t="s">
        <v>102</v>
      </c>
      <c r="C55" s="483"/>
      <c r="D55" s="533"/>
      <c r="E55" s="581">
        <f t="shared" ref="E55:H55" si="19">SUM(E40:E54)</f>
        <v>489261</v>
      </c>
      <c r="F55" s="582">
        <f t="shared" si="19"/>
        <v>655409</v>
      </c>
      <c r="G55" s="582">
        <f t="shared" si="19"/>
        <v>1144670</v>
      </c>
      <c r="H55" s="570">
        <f t="shared" si="19"/>
        <v>1</v>
      </c>
      <c r="I55" s="483"/>
      <c r="J55" s="533"/>
      <c r="K55" s="483"/>
      <c r="L55" s="533"/>
      <c r="M55" s="483"/>
      <c r="N55" s="533"/>
      <c r="O55" s="483"/>
      <c r="P55" s="533"/>
      <c r="Q55" s="581">
        <f>SUM(Q40:Q54)</f>
        <v>4383248.7201299993</v>
      </c>
      <c r="R55" s="570">
        <f>SUM(R40:R54)</f>
        <v>1.0000000000000002</v>
      </c>
      <c r="S55" s="581">
        <f>SUM(S40:S54)</f>
        <v>1121.4988333333333</v>
      </c>
      <c r="T55" s="570">
        <f>SUM(T40:T54)</f>
        <v>1</v>
      </c>
    </row>
    <row r="56" spans="1:23" ht="15.75" thickBot="1" x14ac:dyDescent="0.3"/>
    <row r="57" spans="1:23" x14ac:dyDescent="0.25">
      <c r="A57" s="262">
        <v>12000</v>
      </c>
      <c r="B57" s="258" t="s">
        <v>5</v>
      </c>
      <c r="C57" s="483"/>
      <c r="D57" s="533"/>
      <c r="E57" s="575">
        <v>24096</v>
      </c>
      <c r="F57" s="576">
        <v>27821</v>
      </c>
      <c r="G57" s="576">
        <f>E57+F57</f>
        <v>51917</v>
      </c>
      <c r="H57" s="555">
        <f>G57/$G$72</f>
        <v>4.3574197078882916E-2</v>
      </c>
      <c r="I57" s="483"/>
      <c r="J57" s="533"/>
      <c r="K57" s="483"/>
      <c r="L57" s="533"/>
      <c r="M57" s="483"/>
      <c r="N57" s="533"/>
      <c r="O57" s="483"/>
      <c r="P57" s="533"/>
      <c r="Q57" s="575">
        <v>301187.45930000005</v>
      </c>
      <c r="R57" s="555">
        <f>Q57/$Q$72</f>
        <v>7.3915607959528645E-2</v>
      </c>
      <c r="S57" s="575">
        <v>101.64160256410258</v>
      </c>
      <c r="T57" s="555">
        <f>S57/$S$72</f>
        <v>9.7473124409745704E-2</v>
      </c>
    </row>
    <row r="58" spans="1:23" ht="15" customHeight="1" x14ac:dyDescent="0.25">
      <c r="A58" s="263">
        <v>13000</v>
      </c>
      <c r="B58" s="259" t="s">
        <v>6</v>
      </c>
      <c r="E58" s="577">
        <v>16328</v>
      </c>
      <c r="F58" s="578">
        <v>18259</v>
      </c>
      <c r="G58" s="578">
        <f t="shared" ref="G58:G71" si="20">E58+F58</f>
        <v>34587</v>
      </c>
      <c r="H58" s="562">
        <f t="shared" ref="H58:H71" si="21">G58/$G$72</f>
        <v>2.902904163120603E-2</v>
      </c>
      <c r="M58" s="11"/>
      <c r="N58" s="607"/>
      <c r="Q58" s="577">
        <v>70149</v>
      </c>
      <c r="R58" s="562">
        <f t="shared" ref="R58:R71" si="22">Q58/$Q$72</f>
        <v>1.721554408275781E-2</v>
      </c>
      <c r="S58" s="577">
        <v>35.869999999999997</v>
      </c>
      <c r="T58" s="562">
        <f t="shared" ref="T58:T71" si="23">S58/$S$72</f>
        <v>3.4398916234841127E-2</v>
      </c>
    </row>
    <row r="59" spans="1:23" x14ac:dyDescent="0.25">
      <c r="A59" s="263">
        <v>16000</v>
      </c>
      <c r="B59" s="259" t="s">
        <v>193</v>
      </c>
      <c r="E59" s="577">
        <v>1272</v>
      </c>
      <c r="F59" s="578">
        <v>7750</v>
      </c>
      <c r="G59" s="578">
        <f t="shared" si="20"/>
        <v>9022</v>
      </c>
      <c r="H59" s="562">
        <f t="shared" si="21"/>
        <v>7.5722096046705644E-3</v>
      </c>
      <c r="N59" s="607"/>
      <c r="Q59" s="577">
        <v>45802.884669999992</v>
      </c>
      <c r="R59" s="562">
        <f t="shared" si="22"/>
        <v>1.124066743864997E-2</v>
      </c>
      <c r="S59" s="577">
        <v>25.22</v>
      </c>
      <c r="T59" s="562">
        <f t="shared" si="23"/>
        <v>2.4185689083989218E-2</v>
      </c>
    </row>
    <row r="60" spans="1:23" x14ac:dyDescent="0.25">
      <c r="A60" s="263">
        <v>17000</v>
      </c>
      <c r="B60" s="259" t="s">
        <v>9</v>
      </c>
      <c r="E60" s="577">
        <v>30356</v>
      </c>
      <c r="F60" s="578">
        <v>46760</v>
      </c>
      <c r="G60" s="578">
        <f t="shared" si="20"/>
        <v>77116</v>
      </c>
      <c r="H60" s="562">
        <f t="shared" si="21"/>
        <v>6.4723843479691331E-2</v>
      </c>
      <c r="N60" s="607"/>
      <c r="Q60" s="577">
        <v>143775</v>
      </c>
      <c r="R60" s="562">
        <f t="shared" si="22"/>
        <v>3.5284392514483516E-2</v>
      </c>
      <c r="S60" s="577">
        <v>81.298000000000002</v>
      </c>
      <c r="T60" s="562">
        <f t="shared" si="23"/>
        <v>7.7963844216897532E-2</v>
      </c>
    </row>
    <row r="61" spans="1:23" x14ac:dyDescent="0.25">
      <c r="A61" s="263">
        <v>18000</v>
      </c>
      <c r="B61" s="259" t="s">
        <v>10</v>
      </c>
      <c r="E61" s="577">
        <v>57575</v>
      </c>
      <c r="F61" s="578">
        <v>57670</v>
      </c>
      <c r="G61" s="578">
        <f t="shared" si="20"/>
        <v>115245</v>
      </c>
      <c r="H61" s="562">
        <f t="shared" si="21"/>
        <v>9.6725703379545461E-2</v>
      </c>
      <c r="N61" s="607"/>
      <c r="Q61" s="577">
        <v>269786.14850999997</v>
      </c>
      <c r="R61" s="562">
        <f t="shared" si="22"/>
        <v>6.6209287838619929E-2</v>
      </c>
      <c r="S61" s="577">
        <v>62.01100000000001</v>
      </c>
      <c r="T61" s="562">
        <f t="shared" si="23"/>
        <v>5.9467833694974458E-2</v>
      </c>
    </row>
    <row r="62" spans="1:23" x14ac:dyDescent="0.25">
      <c r="A62" s="263">
        <v>19000</v>
      </c>
      <c r="B62" s="259" t="s">
        <v>11</v>
      </c>
      <c r="E62" s="577">
        <v>8709</v>
      </c>
      <c r="F62" s="578">
        <v>6517</v>
      </c>
      <c r="G62" s="578">
        <f t="shared" si="20"/>
        <v>15226</v>
      </c>
      <c r="H62" s="562">
        <f t="shared" si="21"/>
        <v>1.2779257752240524E-2</v>
      </c>
      <c r="N62" s="607"/>
      <c r="Q62" s="577">
        <v>22820</v>
      </c>
      <c r="R62" s="562">
        <f t="shared" si="22"/>
        <v>5.6003466331456357E-3</v>
      </c>
      <c r="S62" s="577">
        <v>40.976000000000006</v>
      </c>
      <c r="T62" s="562">
        <f t="shared" si="23"/>
        <v>3.9295511336460844E-2</v>
      </c>
    </row>
    <row r="63" spans="1:23" x14ac:dyDescent="0.25">
      <c r="A63" s="263">
        <v>22000</v>
      </c>
      <c r="B63" s="259" t="s">
        <v>13</v>
      </c>
      <c r="E63" s="577">
        <v>19857</v>
      </c>
      <c r="F63" s="578">
        <v>42165</v>
      </c>
      <c r="G63" s="578">
        <f t="shared" si="20"/>
        <v>62022</v>
      </c>
      <c r="H63" s="562">
        <f t="shared" si="21"/>
        <v>5.2055373985909745E-2</v>
      </c>
      <c r="N63" s="607"/>
      <c r="Q63" s="577">
        <v>722627.5983500001</v>
      </c>
      <c r="R63" s="562">
        <f t="shared" si="22"/>
        <v>0.1773429026046249</v>
      </c>
      <c r="S63" s="577">
        <v>104.74</v>
      </c>
      <c r="T63" s="562">
        <f t="shared" si="23"/>
        <v>0.10044445181035015</v>
      </c>
    </row>
    <row r="64" spans="1:23" x14ac:dyDescent="0.25">
      <c r="A64" s="263">
        <v>23000</v>
      </c>
      <c r="B64" s="259" t="s">
        <v>14</v>
      </c>
      <c r="E64" s="577">
        <v>42340</v>
      </c>
      <c r="F64" s="578">
        <v>43916</v>
      </c>
      <c r="G64" s="578">
        <f t="shared" si="20"/>
        <v>86256</v>
      </c>
      <c r="H64" s="562">
        <f t="shared" si="21"/>
        <v>7.239509107298428E-2</v>
      </c>
      <c r="N64" s="607"/>
      <c r="Q64" s="577">
        <v>414179</v>
      </c>
      <c r="R64" s="562">
        <f t="shared" si="22"/>
        <v>0.10164530973574173</v>
      </c>
      <c r="S64" s="577">
        <v>65.858999999999995</v>
      </c>
      <c r="T64" s="562">
        <f t="shared" si="23"/>
        <v>6.3158021307789289E-2</v>
      </c>
    </row>
    <row r="65" spans="1:20" x14ac:dyDescent="0.25">
      <c r="A65" s="263">
        <v>24000</v>
      </c>
      <c r="B65" s="259" t="s">
        <v>15</v>
      </c>
      <c r="E65" s="577">
        <v>22357</v>
      </c>
      <c r="F65" s="578">
        <v>27436</v>
      </c>
      <c r="G65" s="578">
        <f t="shared" si="20"/>
        <v>49793</v>
      </c>
      <c r="H65" s="562">
        <f t="shared" si="21"/>
        <v>4.1791513283680047E-2</v>
      </c>
      <c r="N65" s="607"/>
      <c r="Q65" s="577">
        <v>194833.08747000009</v>
      </c>
      <c r="R65" s="562">
        <f t="shared" si="22"/>
        <v>4.7814760098071174E-2</v>
      </c>
      <c r="S65" s="577">
        <v>53.434807692307686</v>
      </c>
      <c r="T65" s="562">
        <f t="shared" si="23"/>
        <v>5.1243364199401634E-2</v>
      </c>
    </row>
    <row r="66" spans="1:20" x14ac:dyDescent="0.25">
      <c r="A66" s="263">
        <v>25000</v>
      </c>
      <c r="B66" s="259" t="s">
        <v>16</v>
      </c>
      <c r="E66" s="577">
        <v>16159</v>
      </c>
      <c r="F66" s="578">
        <v>27221</v>
      </c>
      <c r="G66" s="578">
        <f t="shared" si="20"/>
        <v>43380</v>
      </c>
      <c r="H66" s="562">
        <f t="shared" si="21"/>
        <v>3.6409050393550108E-2</v>
      </c>
      <c r="N66" s="607"/>
      <c r="Q66" s="577">
        <v>207306.63657</v>
      </c>
      <c r="R66" s="562">
        <f t="shared" si="22"/>
        <v>5.0875943214002871E-2</v>
      </c>
      <c r="S66" s="577">
        <v>40.489999999999995</v>
      </c>
      <c r="T66" s="562">
        <f t="shared" si="23"/>
        <v>3.8829442942534632E-2</v>
      </c>
    </row>
    <row r="67" spans="1:20" x14ac:dyDescent="0.25">
      <c r="A67" s="263">
        <v>27000</v>
      </c>
      <c r="B67" s="259" t="s">
        <v>18</v>
      </c>
      <c r="E67" s="577">
        <v>23516</v>
      </c>
      <c r="F67" s="578">
        <v>56962</v>
      </c>
      <c r="G67" s="578">
        <f t="shared" si="20"/>
        <v>80478</v>
      </c>
      <c r="H67" s="562">
        <f t="shared" si="21"/>
        <v>6.7545586850440889E-2</v>
      </c>
      <c r="N67" s="607"/>
      <c r="Q67" s="577">
        <v>737678</v>
      </c>
      <c r="R67" s="562">
        <f t="shared" si="22"/>
        <v>0.18103648131663483</v>
      </c>
      <c r="S67" s="577">
        <v>80.03</v>
      </c>
      <c r="T67" s="562">
        <f t="shared" si="23"/>
        <v>7.674784684344399E-2</v>
      </c>
    </row>
    <row r="68" spans="1:20" x14ac:dyDescent="0.25">
      <c r="A68" s="263">
        <v>28000</v>
      </c>
      <c r="B68" s="259" t="s">
        <v>19</v>
      </c>
      <c r="E68" s="577">
        <v>32558</v>
      </c>
      <c r="F68" s="578">
        <v>32826</v>
      </c>
      <c r="G68" s="578">
        <f t="shared" si="20"/>
        <v>65384</v>
      </c>
      <c r="H68" s="562">
        <f t="shared" si="21"/>
        <v>5.4877117356659295E-2</v>
      </c>
      <c r="N68" s="607"/>
      <c r="Q68" s="577">
        <v>144453</v>
      </c>
      <c r="R68" s="562">
        <f t="shared" si="22"/>
        <v>3.5450783181322811E-2</v>
      </c>
      <c r="S68" s="577">
        <v>79.634</v>
      </c>
      <c r="T68" s="562">
        <f t="shared" si="23"/>
        <v>7.6368087411355964E-2</v>
      </c>
    </row>
    <row r="69" spans="1:20" x14ac:dyDescent="0.25">
      <c r="A69" s="263">
        <v>31000</v>
      </c>
      <c r="B69" s="259" t="s">
        <v>20</v>
      </c>
      <c r="E69" s="577">
        <v>124860</v>
      </c>
      <c r="F69" s="578">
        <v>114811</v>
      </c>
      <c r="G69" s="578">
        <f t="shared" si="20"/>
        <v>239671</v>
      </c>
      <c r="H69" s="562">
        <f t="shared" si="21"/>
        <v>0.20115706585690521</v>
      </c>
      <c r="N69" s="607"/>
      <c r="Q69" s="577">
        <v>111590.76323000001</v>
      </c>
      <c r="R69" s="562">
        <f t="shared" si="22"/>
        <v>2.7385931426173637E-2</v>
      </c>
      <c r="S69" s="577">
        <v>51.852000000000004</v>
      </c>
      <c r="T69" s="562">
        <f t="shared" si="23"/>
        <v>4.9725469880373081E-2</v>
      </c>
    </row>
    <row r="70" spans="1:20" x14ac:dyDescent="0.25">
      <c r="A70" s="263">
        <v>41000</v>
      </c>
      <c r="B70" s="259" t="s">
        <v>21</v>
      </c>
      <c r="E70" s="577">
        <v>54725</v>
      </c>
      <c r="F70" s="578">
        <v>117032</v>
      </c>
      <c r="G70" s="578">
        <f t="shared" si="20"/>
        <v>171757</v>
      </c>
      <c r="H70" s="562">
        <f t="shared" si="21"/>
        <v>0.14415650687978299</v>
      </c>
      <c r="N70" s="607"/>
      <c r="Q70" s="577">
        <v>493202</v>
      </c>
      <c r="R70" s="562">
        <f t="shared" si="22"/>
        <v>0.12103865732518379</v>
      </c>
      <c r="S70" s="577">
        <v>141.29</v>
      </c>
      <c r="T70" s="562">
        <f t="shared" si="23"/>
        <v>0.135495480201302</v>
      </c>
    </row>
    <row r="71" spans="1:20" ht="15.75" thickBot="1" x14ac:dyDescent="0.3">
      <c r="A71" s="264">
        <v>43000</v>
      </c>
      <c r="B71" s="261" t="s">
        <v>22</v>
      </c>
      <c r="E71" s="579">
        <v>33010</v>
      </c>
      <c r="F71" s="578">
        <v>56598</v>
      </c>
      <c r="G71" s="580">
        <f t="shared" si="20"/>
        <v>89608</v>
      </c>
      <c r="H71" s="568">
        <f t="shared" si="21"/>
        <v>7.5208441393850578E-2</v>
      </c>
      <c r="N71" s="607"/>
      <c r="Q71" s="577">
        <v>195357.2</v>
      </c>
      <c r="R71" s="562">
        <f t="shared" si="22"/>
        <v>4.7943384631058662E-2</v>
      </c>
      <c r="S71" s="577">
        <v>78.418999999999997</v>
      </c>
      <c r="T71" s="562">
        <f t="shared" si="23"/>
        <v>7.5202916426540464E-2</v>
      </c>
    </row>
    <row r="72" spans="1:20" ht="15.75" thickBot="1" x14ac:dyDescent="0.3">
      <c r="A72" s="399">
        <v>2023</v>
      </c>
      <c r="B72" s="265" t="s">
        <v>102</v>
      </c>
      <c r="E72" s="581">
        <f t="shared" ref="E72:H72" si="24">SUM(E57:E71)</f>
        <v>507718</v>
      </c>
      <c r="F72" s="582">
        <f t="shared" si="24"/>
        <v>683744</v>
      </c>
      <c r="G72" s="582">
        <f t="shared" si="24"/>
        <v>1191462</v>
      </c>
      <c r="H72" s="570">
        <f t="shared" si="24"/>
        <v>1</v>
      </c>
      <c r="N72" s="607"/>
      <c r="Q72" s="581">
        <f>SUM(Q57:Q71)</f>
        <v>4074747.7781000007</v>
      </c>
      <c r="R72" s="570">
        <f>SUM(R57:R71)</f>
        <v>0.99999999999999989</v>
      </c>
      <c r="S72" s="581">
        <f>SUM(S57:S71)</f>
        <v>1042.7654102564102</v>
      </c>
      <c r="T72" s="570">
        <f>SUM(T57:T71)</f>
        <v>1</v>
      </c>
    </row>
    <row r="73" spans="1:20" ht="15.75" thickBot="1" x14ac:dyDescent="0.3">
      <c r="A73" s="274"/>
      <c r="B73" s="274"/>
      <c r="E73" s="483"/>
      <c r="F73" s="483"/>
      <c r="G73" s="483"/>
      <c r="H73" s="533"/>
    </row>
    <row r="74" spans="1:20" ht="15" customHeight="1" x14ac:dyDescent="0.25">
      <c r="A74" s="262">
        <v>12000</v>
      </c>
      <c r="B74" s="258" t="s">
        <v>5</v>
      </c>
      <c r="E74" s="11"/>
      <c r="F74" s="11"/>
      <c r="G74" s="11"/>
      <c r="H74" s="532"/>
      <c r="Q74" s="575">
        <v>311304.76811</v>
      </c>
      <c r="R74" s="555">
        <f>Q74/$Q$89</f>
        <v>8.6952459957790426E-2</v>
      </c>
      <c r="S74" s="575">
        <v>100.0925</v>
      </c>
      <c r="T74" s="555">
        <f>S74/$S$89</f>
        <v>9.5413408933445534E-2</v>
      </c>
    </row>
    <row r="75" spans="1:20" ht="15" customHeight="1" x14ac:dyDescent="0.25">
      <c r="A75" s="263">
        <v>13000</v>
      </c>
      <c r="B75" s="259" t="s">
        <v>6</v>
      </c>
      <c r="E75" s="11"/>
      <c r="F75" s="11"/>
      <c r="G75" s="11"/>
      <c r="H75" s="532"/>
      <c r="Q75" s="577">
        <v>66874</v>
      </c>
      <c r="R75" s="562">
        <f t="shared" ref="R75:R88" si="25">Q75/$Q$89</f>
        <v>1.8678990503488171E-2</v>
      </c>
      <c r="S75" s="577">
        <v>35.82</v>
      </c>
      <c r="T75" s="562">
        <f t="shared" ref="T75:T88" si="26">S75/$S$89</f>
        <v>3.4145498493853378E-2</v>
      </c>
    </row>
    <row r="76" spans="1:20" ht="15" customHeight="1" x14ac:dyDescent="0.25">
      <c r="A76" s="263">
        <v>16000</v>
      </c>
      <c r="B76" s="259" t="s">
        <v>193</v>
      </c>
      <c r="E76" s="11"/>
      <c r="F76" s="11"/>
      <c r="G76" s="11"/>
      <c r="H76" s="532"/>
      <c r="Q76" s="577">
        <v>43307.241489999993</v>
      </c>
      <c r="R76" s="562">
        <f t="shared" si="25"/>
        <v>1.2096413442054891E-2</v>
      </c>
      <c r="S76" s="577">
        <v>25.268000000000004</v>
      </c>
      <c r="T76" s="562">
        <f t="shared" si="26"/>
        <v>2.4086779897897467E-2</v>
      </c>
    </row>
    <row r="77" spans="1:20" ht="15" customHeight="1" x14ac:dyDescent="0.25">
      <c r="A77" s="263">
        <v>17000</v>
      </c>
      <c r="B77" s="259" t="s">
        <v>9</v>
      </c>
      <c r="E77" s="11"/>
      <c r="F77" s="11"/>
      <c r="G77" s="11"/>
      <c r="H77" s="532"/>
      <c r="Q77" s="577">
        <v>128552</v>
      </c>
      <c r="R77" s="562">
        <f t="shared" si="25"/>
        <v>3.5906654113772342E-2</v>
      </c>
      <c r="S77" s="577">
        <v>90.566000000000003</v>
      </c>
      <c r="T77" s="562">
        <f t="shared" si="26"/>
        <v>8.6332250602856639E-2</v>
      </c>
    </row>
    <row r="78" spans="1:20" ht="15" customHeight="1" x14ac:dyDescent="0.25">
      <c r="A78" s="263">
        <v>18000</v>
      </c>
      <c r="B78" s="259" t="s">
        <v>10</v>
      </c>
      <c r="E78" s="11"/>
      <c r="F78" s="11"/>
      <c r="G78" s="11"/>
      <c r="H78" s="532"/>
      <c r="Q78" s="577">
        <v>112884</v>
      </c>
      <c r="R78" s="562">
        <f t="shared" si="25"/>
        <v>3.1530328139422775E-2</v>
      </c>
      <c r="S78" s="577">
        <v>62.036183333333312</v>
      </c>
      <c r="T78" s="562">
        <f t="shared" si="26"/>
        <v>5.9136136364398226E-2</v>
      </c>
    </row>
    <row r="79" spans="1:20" ht="15" customHeight="1" x14ac:dyDescent="0.25">
      <c r="A79" s="263">
        <v>19000</v>
      </c>
      <c r="B79" s="259" t="s">
        <v>11</v>
      </c>
      <c r="E79" s="11"/>
      <c r="F79" s="11"/>
      <c r="G79" s="11"/>
      <c r="H79" s="532"/>
      <c r="Q79" s="577">
        <v>17899</v>
      </c>
      <c r="R79" s="562">
        <f t="shared" si="25"/>
        <v>4.9994803813430445E-3</v>
      </c>
      <c r="S79" s="577">
        <v>38.528999999999996</v>
      </c>
      <c r="T79" s="562">
        <f t="shared" si="26"/>
        <v>3.6727859058338259E-2</v>
      </c>
    </row>
    <row r="80" spans="1:20" ht="15" customHeight="1" x14ac:dyDescent="0.25">
      <c r="A80" s="263">
        <v>22000</v>
      </c>
      <c r="B80" s="259" t="s">
        <v>13</v>
      </c>
      <c r="E80" s="11"/>
      <c r="F80" s="11"/>
      <c r="G80" s="11"/>
      <c r="H80" s="532"/>
      <c r="Q80" s="577">
        <v>690763.47490000003</v>
      </c>
      <c r="R80" s="562">
        <f t="shared" si="25"/>
        <v>0.19294141800720147</v>
      </c>
      <c r="S80" s="577">
        <v>104.75</v>
      </c>
      <c r="T80" s="562">
        <f t="shared" si="26"/>
        <v>9.98531816647443E-2</v>
      </c>
    </row>
    <row r="81" spans="1:20" ht="15" customHeight="1" x14ac:dyDescent="0.25">
      <c r="A81" s="263">
        <v>23000</v>
      </c>
      <c r="B81" s="259" t="s">
        <v>14</v>
      </c>
      <c r="E81" s="11"/>
      <c r="F81" s="11"/>
      <c r="G81" s="11"/>
      <c r="H81" s="532"/>
      <c r="Q81" s="577">
        <v>261078</v>
      </c>
      <c r="R81" s="562">
        <f t="shared" si="25"/>
        <v>7.2923310743632577E-2</v>
      </c>
      <c r="S81" s="577">
        <v>63.185999999999993</v>
      </c>
      <c r="T81" s="562">
        <f t="shared" si="26"/>
        <v>6.0232201782038503E-2</v>
      </c>
    </row>
    <row r="82" spans="1:20" ht="15" customHeight="1" x14ac:dyDescent="0.25">
      <c r="A82" s="263">
        <v>24000</v>
      </c>
      <c r="B82" s="259" t="s">
        <v>15</v>
      </c>
      <c r="E82" s="11"/>
      <c r="F82" s="11"/>
      <c r="G82" s="11"/>
      <c r="H82" s="532"/>
      <c r="Q82" s="577">
        <v>227922.41873999994</v>
      </c>
      <c r="R82" s="562">
        <f t="shared" si="25"/>
        <v>6.3662420300513098E-2</v>
      </c>
      <c r="S82" s="577">
        <v>65.81</v>
      </c>
      <c r="T82" s="562">
        <f t="shared" si="26"/>
        <v>6.2733535898394491E-2</v>
      </c>
    </row>
    <row r="83" spans="1:20" ht="15" customHeight="1" x14ac:dyDescent="0.25">
      <c r="A83" s="263">
        <v>25000</v>
      </c>
      <c r="B83" s="259" t="s">
        <v>16</v>
      </c>
      <c r="E83" s="11"/>
      <c r="F83" s="11"/>
      <c r="G83" s="11"/>
      <c r="H83" s="532"/>
      <c r="Q83" s="577">
        <v>150709.25565999994</v>
      </c>
      <c r="R83" s="562">
        <f t="shared" si="25"/>
        <v>4.2095534217497232E-2</v>
      </c>
      <c r="S83" s="577">
        <v>51.42</v>
      </c>
      <c r="T83" s="562">
        <f t="shared" si="26"/>
        <v>4.9016234856335585E-2</v>
      </c>
    </row>
    <row r="84" spans="1:20" ht="15" customHeight="1" x14ac:dyDescent="0.25">
      <c r="A84" s="263">
        <v>27000</v>
      </c>
      <c r="B84" s="259" t="s">
        <v>18</v>
      </c>
      <c r="E84" s="11"/>
      <c r="F84" s="11"/>
      <c r="G84" s="11"/>
      <c r="H84" s="532"/>
      <c r="Q84" s="577">
        <v>693448</v>
      </c>
      <c r="R84" s="562">
        <f t="shared" si="25"/>
        <v>0.19369124931457465</v>
      </c>
      <c r="S84" s="577">
        <v>70.038000000000011</v>
      </c>
      <c r="T84" s="562">
        <f t="shared" si="26"/>
        <v>6.6763886753559543E-2</v>
      </c>
    </row>
    <row r="85" spans="1:20" ht="15" customHeight="1" x14ac:dyDescent="0.25">
      <c r="A85" s="263">
        <v>28000</v>
      </c>
      <c r="B85" s="259" t="s">
        <v>19</v>
      </c>
      <c r="E85" s="11"/>
      <c r="F85" s="11"/>
      <c r="G85" s="11"/>
      <c r="H85" s="532"/>
      <c r="Q85" s="577">
        <v>125578</v>
      </c>
      <c r="R85" s="562">
        <f t="shared" si="25"/>
        <v>3.507596778190384E-2</v>
      </c>
      <c r="S85" s="577">
        <v>77.004000000000005</v>
      </c>
      <c r="T85" s="562">
        <f t="shared" si="26"/>
        <v>7.3404242490806404E-2</v>
      </c>
    </row>
    <row r="86" spans="1:20" ht="15" customHeight="1" x14ac:dyDescent="0.25">
      <c r="A86" s="263">
        <v>31000</v>
      </c>
      <c r="B86" s="259" t="s">
        <v>20</v>
      </c>
      <c r="E86" s="11"/>
      <c r="F86" s="11"/>
      <c r="G86" s="11"/>
      <c r="H86" s="532"/>
      <c r="Q86" s="577">
        <v>108147.61994</v>
      </c>
      <c r="R86" s="562">
        <f t="shared" si="25"/>
        <v>3.0207380534050723E-2</v>
      </c>
      <c r="S86" s="577">
        <v>47.175499999999992</v>
      </c>
      <c r="T86" s="562">
        <f t="shared" si="26"/>
        <v>4.4970155337710205E-2</v>
      </c>
    </row>
    <row r="87" spans="1:20" ht="15" customHeight="1" x14ac:dyDescent="0.25">
      <c r="A87" s="263">
        <v>41000</v>
      </c>
      <c r="B87" s="259" t="s">
        <v>21</v>
      </c>
      <c r="E87" s="11"/>
      <c r="F87" s="11"/>
      <c r="G87" s="11"/>
      <c r="H87" s="532"/>
      <c r="Q87" s="577">
        <v>420782</v>
      </c>
      <c r="R87" s="562">
        <f t="shared" si="25"/>
        <v>0.11753122262820767</v>
      </c>
      <c r="S87" s="577">
        <v>152.93100000000001</v>
      </c>
      <c r="T87" s="562">
        <f t="shared" si="26"/>
        <v>0.14578183222120297</v>
      </c>
    </row>
    <row r="88" spans="1:20" ht="15" customHeight="1" thickBot="1" x14ac:dyDescent="0.3">
      <c r="A88" s="264">
        <v>43000</v>
      </c>
      <c r="B88" s="261" t="s">
        <v>22</v>
      </c>
      <c r="E88" s="11"/>
      <c r="F88" s="11"/>
      <c r="G88" s="11"/>
      <c r="H88" s="532"/>
      <c r="Q88" s="577">
        <v>220922.28599999999</v>
      </c>
      <c r="R88" s="562">
        <f t="shared" si="25"/>
        <v>6.1707169934547022E-2</v>
      </c>
      <c r="S88" s="577">
        <v>64.414000000000001</v>
      </c>
      <c r="T88" s="562">
        <f t="shared" si="26"/>
        <v>6.1402795644418522E-2</v>
      </c>
    </row>
    <row r="89" spans="1:20" ht="15" customHeight="1" thickBot="1" x14ac:dyDescent="0.3">
      <c r="A89" s="399">
        <v>2021</v>
      </c>
      <c r="B89" s="265" t="s">
        <v>102</v>
      </c>
      <c r="E89" s="483"/>
      <c r="F89" s="483"/>
      <c r="G89" s="483"/>
      <c r="H89" s="533"/>
      <c r="Q89" s="581">
        <f>SUM(Q74:Q88)</f>
        <v>3580172.0648400001</v>
      </c>
      <c r="R89" s="570">
        <f>SUM(R74:R88)</f>
        <v>1</v>
      </c>
      <c r="S89" s="581">
        <f>SUM(S74:S88)</f>
        <v>1049.0401833333333</v>
      </c>
      <c r="T89" s="570">
        <f>SUM(T74:T88)</f>
        <v>1</v>
      </c>
    </row>
    <row r="90" spans="1:20" ht="15" customHeight="1" x14ac:dyDescent="0.25">
      <c r="E90" s="11"/>
      <c r="F90" s="11"/>
      <c r="G90" s="11"/>
    </row>
    <row r="91" spans="1:20" x14ac:dyDescent="0.25">
      <c r="A91" s="441"/>
    </row>
  </sheetData>
  <mergeCells count="14">
    <mergeCell ref="A21:B21"/>
    <mergeCell ref="K4:L4"/>
    <mergeCell ref="M4:N4"/>
    <mergeCell ref="O4:P4"/>
    <mergeCell ref="Q4:R4"/>
    <mergeCell ref="I4:J4"/>
    <mergeCell ref="S4:T4"/>
    <mergeCell ref="U4:U5"/>
    <mergeCell ref="V4:V5"/>
    <mergeCell ref="A3:B3"/>
    <mergeCell ref="A4:A5"/>
    <mergeCell ref="B4:B5"/>
    <mergeCell ref="C4:D4"/>
    <mergeCell ref="E4:H4"/>
  </mergeCells>
  <pageMargins left="0.70866141732283472" right="0.70866141732283472" top="0.78740157480314965" bottom="0.78740157480314965" header="0.31496062992125984" footer="0.31496062992125984"/>
  <pageSetup paperSize="8" scale="54" orientation="landscape" r:id="rId1"/>
  <headerFooter>
    <oddHeader xml:space="preserve">&amp;LČ. j.: MSMT-5003/2026-1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C2E6"/>
    <pageSetUpPr fitToPage="1"/>
  </sheetPr>
  <dimension ref="A1:W43"/>
  <sheetViews>
    <sheetView zoomScale="85" zoomScaleNormal="85" workbookViewId="0">
      <selection activeCell="M27" sqref="M27"/>
    </sheetView>
  </sheetViews>
  <sheetFormatPr defaultRowHeight="15" x14ac:dyDescent="0.25"/>
  <cols>
    <col min="1" max="1" width="10.5703125" customWidth="1"/>
    <col min="2" max="2" width="52.28515625" customWidth="1"/>
    <col min="3" max="20" width="10.85546875" customWidth="1"/>
    <col min="21" max="22" width="15.7109375" customWidth="1"/>
    <col min="23" max="23" width="11.42578125" customWidth="1"/>
  </cols>
  <sheetData>
    <row r="1" spans="1:22" ht="27.75" x14ac:dyDescent="0.25">
      <c r="A1" s="231" t="s">
        <v>280</v>
      </c>
    </row>
    <row r="2" spans="1:22" ht="15.75" thickBot="1" x14ac:dyDescent="0.3"/>
    <row r="3" spans="1:22" ht="15.75" thickBot="1" x14ac:dyDescent="0.3">
      <c r="A3" s="859" t="s">
        <v>91</v>
      </c>
      <c r="B3" s="860"/>
      <c r="C3" s="232"/>
      <c r="D3" s="501">
        <v>0.15</v>
      </c>
      <c r="E3" s="500"/>
      <c r="F3" s="552"/>
      <c r="G3" s="552"/>
      <c r="H3" s="501">
        <v>0.22</v>
      </c>
      <c r="I3" s="500"/>
      <c r="J3" s="501">
        <v>0.1</v>
      </c>
      <c r="K3" s="500"/>
      <c r="L3" s="501">
        <v>0.3</v>
      </c>
      <c r="M3" s="500"/>
      <c r="N3" s="501">
        <v>0.03</v>
      </c>
      <c r="O3" s="500"/>
      <c r="P3" s="501">
        <v>3.5000000000000003E-2</v>
      </c>
      <c r="Q3" s="500"/>
      <c r="R3" s="501">
        <v>6.5000000000000002E-2</v>
      </c>
      <c r="S3" s="500"/>
      <c r="T3" s="501">
        <v>0.1</v>
      </c>
      <c r="U3" s="553">
        <f>SUM(C3:T3)</f>
        <v>1.0000000000000002</v>
      </c>
      <c r="V3" s="503">
        <v>0.54400690933250961</v>
      </c>
    </row>
    <row r="4" spans="1:22" ht="30" customHeight="1" x14ac:dyDescent="0.25">
      <c r="A4" s="861" t="s">
        <v>2</v>
      </c>
      <c r="B4" s="863" t="s">
        <v>3</v>
      </c>
      <c r="C4" s="855" t="s">
        <v>103</v>
      </c>
      <c r="D4" s="868"/>
      <c r="E4" s="872" t="s">
        <v>92</v>
      </c>
      <c r="F4" s="873"/>
      <c r="G4" s="873"/>
      <c r="H4" s="877"/>
      <c r="I4" s="855" t="s">
        <v>93</v>
      </c>
      <c r="J4" s="868"/>
      <c r="K4" s="861" t="s">
        <v>94</v>
      </c>
      <c r="L4" s="871"/>
      <c r="M4" s="861" t="s">
        <v>95</v>
      </c>
      <c r="N4" s="871"/>
      <c r="O4" s="861" t="s">
        <v>128</v>
      </c>
      <c r="P4" s="871"/>
      <c r="Q4" s="861" t="s">
        <v>96</v>
      </c>
      <c r="R4" s="871"/>
      <c r="S4" s="861" t="s">
        <v>105</v>
      </c>
      <c r="T4" s="871"/>
      <c r="U4" s="857" t="s">
        <v>97</v>
      </c>
      <c r="V4" s="857" t="s">
        <v>98</v>
      </c>
    </row>
    <row r="5" spans="1:22" ht="15.75" thickBot="1" x14ac:dyDescent="0.3">
      <c r="A5" s="862"/>
      <c r="B5" s="864"/>
      <c r="C5" s="238" t="s">
        <v>28</v>
      </c>
      <c r="D5" s="249" t="s">
        <v>101</v>
      </c>
      <c r="E5" s="234" t="s">
        <v>99</v>
      </c>
      <c r="F5" s="235" t="s">
        <v>100</v>
      </c>
      <c r="G5" s="236" t="s">
        <v>28</v>
      </c>
      <c r="H5" s="237" t="s">
        <v>101</v>
      </c>
      <c r="I5" s="238" t="s">
        <v>28</v>
      </c>
      <c r="J5" s="249" t="s">
        <v>101</v>
      </c>
      <c r="K5" s="238" t="s">
        <v>28</v>
      </c>
      <c r="L5" s="239" t="s">
        <v>101</v>
      </c>
      <c r="M5" s="238" t="s">
        <v>28</v>
      </c>
      <c r="N5" s="239" t="s">
        <v>101</v>
      </c>
      <c r="O5" s="238" t="s">
        <v>28</v>
      </c>
      <c r="P5" s="239" t="s">
        <v>101</v>
      </c>
      <c r="Q5" s="238" t="s">
        <v>28</v>
      </c>
      <c r="R5" s="239" t="s">
        <v>101</v>
      </c>
      <c r="S5" s="238" t="s">
        <v>28</v>
      </c>
      <c r="T5" s="239" t="s">
        <v>101</v>
      </c>
      <c r="U5" s="858"/>
      <c r="V5" s="858"/>
    </row>
    <row r="6" spans="1:22" x14ac:dyDescent="0.25">
      <c r="A6" s="266">
        <v>11000</v>
      </c>
      <c r="B6" s="267" t="s">
        <v>4</v>
      </c>
      <c r="C6" s="583"/>
      <c r="D6" s="587">
        <f>D13</f>
        <v>0.31657043811499563</v>
      </c>
      <c r="E6" s="583"/>
      <c r="F6" s="585"/>
      <c r="G6" s="586"/>
      <c r="H6" s="584">
        <f>0.5*H13+0.3*H20+0.2*H27</f>
        <v>0.39944892602378579</v>
      </c>
      <c r="I6" s="583"/>
      <c r="J6" s="587">
        <f>J13</f>
        <v>0.37238654955381234</v>
      </c>
      <c r="K6" s="583"/>
      <c r="L6" s="587">
        <f>L13</f>
        <v>0.42201765030271138</v>
      </c>
      <c r="M6" s="583"/>
      <c r="N6" s="587">
        <f>N13</f>
        <v>5.5765756886744691E-2</v>
      </c>
      <c r="O6" s="583"/>
      <c r="P6" s="587">
        <f>P13</f>
        <v>0.63742836924679636</v>
      </c>
      <c r="Q6" s="583"/>
      <c r="R6" s="584">
        <f>0.5*R20+0.3*R27+0.2*R34</f>
        <v>0.29441873307680405</v>
      </c>
      <c r="S6" s="583"/>
      <c r="T6" s="584">
        <f>0.5*T20+0.3*T27+0.2*T34</f>
        <v>0.39794833214451963</v>
      </c>
      <c r="U6" s="588">
        <f t="array" ref="U6">SUM($C$3:$T$3*C6:T6)</f>
        <v>0.38212329598336137</v>
      </c>
      <c r="V6" s="589">
        <f>U6*$V$3</f>
        <v>0.20787771323186019</v>
      </c>
    </row>
    <row r="7" spans="1:22" x14ac:dyDescent="0.25">
      <c r="A7" s="266">
        <v>14000</v>
      </c>
      <c r="B7" s="268" t="s">
        <v>7</v>
      </c>
      <c r="C7" s="590"/>
      <c r="D7" s="592">
        <f t="shared" ref="D7:D10" si="0">D14</f>
        <v>0.26382996407936704</v>
      </c>
      <c r="E7" s="590"/>
      <c r="F7" s="585"/>
      <c r="G7" s="585"/>
      <c r="H7" s="591">
        <f t="shared" ref="H7:H10" si="1">0.5*H14+0.3*H21+0.2*H28</f>
        <v>0.27151139702994465</v>
      </c>
      <c r="I7" s="590"/>
      <c r="J7" s="592">
        <f t="shared" ref="J7:J10" si="2">J14</f>
        <v>0.21820508399314145</v>
      </c>
      <c r="K7" s="590"/>
      <c r="L7" s="592">
        <f t="shared" ref="L7:L10" si="3">L14</f>
        <v>0.18734124482409925</v>
      </c>
      <c r="M7" s="590"/>
      <c r="N7" s="592">
        <f t="shared" ref="N7:P10" si="4">N14</f>
        <v>3.4219807697537338E-2</v>
      </c>
      <c r="O7" s="590"/>
      <c r="P7" s="592">
        <f t="shared" si="4"/>
        <v>0.19442709703367517</v>
      </c>
      <c r="Q7" s="590"/>
      <c r="R7" s="591">
        <f t="shared" ref="R7:T10" si="5">0.5*R21+0.3*R28+0.2*R35</f>
        <v>0.2628186514131457</v>
      </c>
      <c r="S7" s="590"/>
      <c r="T7" s="591">
        <f t="shared" si="5"/>
        <v>0.22417954669426587</v>
      </c>
      <c r="U7" s="593">
        <f t="array" ref="U7">SUM($C$3:$T$3*C7:T7)</f>
        <v>0.22466259344342263</v>
      </c>
      <c r="V7" s="594">
        <f>U7*$V$3</f>
        <v>0.12221800310178248</v>
      </c>
    </row>
    <row r="8" spans="1:22" x14ac:dyDescent="0.25">
      <c r="A8" s="266">
        <v>15000</v>
      </c>
      <c r="B8" s="268" t="s">
        <v>8</v>
      </c>
      <c r="C8" s="590"/>
      <c r="D8" s="592">
        <f t="shared" si="0"/>
        <v>0.15349878029904043</v>
      </c>
      <c r="E8" s="590"/>
      <c r="F8" s="585"/>
      <c r="G8" s="585"/>
      <c r="H8" s="591">
        <f t="shared" si="1"/>
        <v>0.10647836943625133</v>
      </c>
      <c r="I8" s="590"/>
      <c r="J8" s="592">
        <f t="shared" si="2"/>
        <v>0.15625839859863927</v>
      </c>
      <c r="K8" s="590"/>
      <c r="L8" s="592">
        <f t="shared" si="3"/>
        <v>0.13248883544322373</v>
      </c>
      <c r="M8" s="590"/>
      <c r="N8" s="592">
        <f t="shared" si="4"/>
        <v>6.2401735159833167E-2</v>
      </c>
      <c r="O8" s="590"/>
      <c r="P8" s="592">
        <f t="shared" si="4"/>
        <v>6.3681859192407472E-2</v>
      </c>
      <c r="Q8" s="590"/>
      <c r="R8" s="591">
        <f t="shared" si="5"/>
        <v>8.7154604225418958E-2</v>
      </c>
      <c r="S8" s="590"/>
      <c r="T8" s="591">
        <f t="shared" si="5"/>
        <v>0.13243911669134473</v>
      </c>
      <c r="U8" s="593">
        <f t="array" ref="U8">SUM($C$3:$T$3*C8:T8)</f>
        <v>0.12483242688397839</v>
      </c>
      <c r="V8" s="594">
        <f>U8*$V$3</f>
        <v>6.7909702733629562E-2</v>
      </c>
    </row>
    <row r="9" spans="1:22" x14ac:dyDescent="0.25">
      <c r="A9" s="266">
        <v>21000</v>
      </c>
      <c r="B9" s="268" t="s">
        <v>12</v>
      </c>
      <c r="C9" s="590"/>
      <c r="D9" s="592">
        <f t="shared" si="0"/>
        <v>0.13021138795327231</v>
      </c>
      <c r="E9" s="590"/>
      <c r="F9" s="585"/>
      <c r="G9" s="585"/>
      <c r="H9" s="591">
        <f t="shared" si="1"/>
        <v>0.13896296347583245</v>
      </c>
      <c r="I9" s="590"/>
      <c r="J9" s="592">
        <f t="shared" si="2"/>
        <v>0.1349233972058953</v>
      </c>
      <c r="K9" s="590"/>
      <c r="L9" s="592">
        <f t="shared" si="3"/>
        <v>0.16368212739699103</v>
      </c>
      <c r="M9" s="590"/>
      <c r="N9" s="592">
        <f t="shared" si="4"/>
        <v>0.3924497440892134</v>
      </c>
      <c r="O9" s="590"/>
      <c r="P9" s="592">
        <f t="shared" si="4"/>
        <v>6.998851886480234E-2</v>
      </c>
      <c r="Q9" s="590"/>
      <c r="R9" s="591">
        <f t="shared" si="5"/>
        <v>0.21455448718724179</v>
      </c>
      <c r="S9" s="590"/>
      <c r="T9" s="591">
        <f t="shared" si="5"/>
        <v>0.15663963027894964</v>
      </c>
      <c r="U9" s="593">
        <f t="array" ref="U9">SUM($C$3:$T$3*C9:T9)</f>
        <v>0.15653363327537101</v>
      </c>
      <c r="V9" s="594">
        <f>U9*$V$3</f>
        <v>8.5155378044723062E-2</v>
      </c>
    </row>
    <row r="10" spans="1:22" ht="15.75" thickBot="1" x14ac:dyDescent="0.3">
      <c r="A10" s="269">
        <v>26000</v>
      </c>
      <c r="B10" s="270" t="s">
        <v>17</v>
      </c>
      <c r="C10" s="590"/>
      <c r="D10" s="592">
        <f t="shared" si="0"/>
        <v>0.1358894295533245</v>
      </c>
      <c r="E10" s="595"/>
      <c r="F10" s="585"/>
      <c r="G10" s="596"/>
      <c r="H10" s="591">
        <f t="shared" si="1"/>
        <v>8.359834403418577E-2</v>
      </c>
      <c r="I10" s="590"/>
      <c r="J10" s="592">
        <f t="shared" si="2"/>
        <v>0.11822657064851165</v>
      </c>
      <c r="K10" s="590"/>
      <c r="L10" s="592">
        <f t="shared" si="3"/>
        <v>9.447014203297463E-2</v>
      </c>
      <c r="M10" s="590"/>
      <c r="N10" s="592">
        <f t="shared" si="4"/>
        <v>0.45516295616667141</v>
      </c>
      <c r="O10" s="590"/>
      <c r="P10" s="592">
        <f t="shared" si="4"/>
        <v>3.4474155662318574E-2</v>
      </c>
      <c r="Q10" s="590"/>
      <c r="R10" s="591">
        <f t="shared" si="5"/>
        <v>0.14105352409738955</v>
      </c>
      <c r="S10" s="590"/>
      <c r="T10" s="591">
        <f t="shared" si="5"/>
        <v>8.8793374190920094E-2</v>
      </c>
      <c r="U10" s="593">
        <f t="array" ref="U10">SUM($C$3:$T$3*C10:T10)</f>
        <v>0.11184805041386672</v>
      </c>
      <c r="V10" s="594">
        <f>U10*$V$3</f>
        <v>6.0846112220514358E-2</v>
      </c>
    </row>
    <row r="11" spans="1:22" ht="15.75" thickBot="1" x14ac:dyDescent="0.3">
      <c r="A11" s="878" t="s">
        <v>102</v>
      </c>
      <c r="B11" s="879"/>
      <c r="C11" s="598"/>
      <c r="D11" s="601">
        <f>SUM(D6:D10)</f>
        <v>0.99999999999999989</v>
      </c>
      <c r="E11" s="598"/>
      <c r="F11" s="600"/>
      <c r="G11" s="600"/>
      <c r="H11" s="599">
        <f>SUM(H6:H10)</f>
        <v>1</v>
      </c>
      <c r="I11" s="598"/>
      <c r="J11" s="601">
        <f>SUM(J6:J10)</f>
        <v>1</v>
      </c>
      <c r="K11" s="598"/>
      <c r="L11" s="601">
        <f>SUM(L6:L10)</f>
        <v>1</v>
      </c>
      <c r="M11" s="598"/>
      <c r="N11" s="599">
        <f>SUM(N6:N10)</f>
        <v>1</v>
      </c>
      <c r="O11" s="598"/>
      <c r="P11" s="601">
        <f>SUM(P6:P10)</f>
        <v>0.99999999999999989</v>
      </c>
      <c r="Q11" s="598"/>
      <c r="R11" s="599">
        <f>SUM(R6:R10)</f>
        <v>1</v>
      </c>
      <c r="S11" s="598"/>
      <c r="T11" s="599">
        <f>SUM(T6:T10)</f>
        <v>1</v>
      </c>
      <c r="U11" s="602">
        <f>SUM(U6:U10)</f>
        <v>1.0000000000000002</v>
      </c>
      <c r="V11" s="603">
        <f>SUM(V6:V10)</f>
        <v>0.54400690933250961</v>
      </c>
    </row>
    <row r="12" spans="1:22" ht="15.75" thickBot="1" x14ac:dyDescent="0.3">
      <c r="C12" s="11"/>
      <c r="E12" s="11"/>
      <c r="F12" s="11"/>
      <c r="G12" s="11"/>
      <c r="I12" s="11"/>
      <c r="K12" s="11"/>
      <c r="M12" s="11"/>
      <c r="O12" s="11"/>
      <c r="Q12" s="11"/>
      <c r="S12" s="11"/>
    </row>
    <row r="13" spans="1:22" x14ac:dyDescent="0.25">
      <c r="A13" s="271">
        <v>11000</v>
      </c>
      <c r="B13" s="267" t="s">
        <v>4</v>
      </c>
      <c r="C13" s="583">
        <v>24009.331130103186</v>
      </c>
      <c r="D13" s="587">
        <f>C13/$C$18</f>
        <v>0.31657043811499563</v>
      </c>
      <c r="E13" s="583">
        <v>312949</v>
      </c>
      <c r="F13" s="586">
        <v>527344</v>
      </c>
      <c r="G13" s="586">
        <f>E13+F13</f>
        <v>840293</v>
      </c>
      <c r="H13" s="584">
        <f>G13/$G$18</f>
        <v>0.40176725514608708</v>
      </c>
      <c r="I13" s="583">
        <v>14483.69341034106</v>
      </c>
      <c r="J13" s="584">
        <f>I13/$I$18</f>
        <v>0.37238654955381234</v>
      </c>
      <c r="K13" s="583"/>
      <c r="L13" s="587">
        <v>0.42201765030271138</v>
      </c>
      <c r="M13" s="583">
        <v>12878.1</v>
      </c>
      <c r="N13" s="584">
        <f>M13/$M$18</f>
        <v>5.5765756886744691E-2</v>
      </c>
      <c r="O13" s="583"/>
      <c r="P13" s="584">
        <v>0.63742836924679636</v>
      </c>
      <c r="Q13" s="11"/>
      <c r="S13" s="11"/>
    </row>
    <row r="14" spans="1:22" x14ac:dyDescent="0.25">
      <c r="A14" s="266">
        <v>14000</v>
      </c>
      <c r="B14" s="268" t="s">
        <v>7</v>
      </c>
      <c r="C14" s="590">
        <v>20009.388770924215</v>
      </c>
      <c r="D14" s="592">
        <f t="shared" ref="D14:D17" si="6">C14/$C$18</f>
        <v>0.26382996407936704</v>
      </c>
      <c r="E14" s="590">
        <v>227299</v>
      </c>
      <c r="F14" s="585">
        <v>345150</v>
      </c>
      <c r="G14" s="585">
        <f>E14+F14</f>
        <v>572449</v>
      </c>
      <c r="H14" s="591">
        <f t="shared" ref="H14:H17" si="7">G14/$G$18</f>
        <v>0.27370365270342895</v>
      </c>
      <c r="I14" s="590">
        <v>8486.9218314172194</v>
      </c>
      <c r="J14" s="591">
        <f t="shared" ref="J14:J17" si="8">I14/$I$18</f>
        <v>0.21820508399314145</v>
      </c>
      <c r="K14" s="590"/>
      <c r="L14" s="592">
        <v>0.18734124482409925</v>
      </c>
      <c r="M14" s="590">
        <v>7902.4500000000007</v>
      </c>
      <c r="N14" s="591">
        <f t="shared" ref="N14:N17" si="9">M14/$M$18</f>
        <v>3.4219807697537338E-2</v>
      </c>
      <c r="O14" s="590"/>
      <c r="P14" s="591">
        <v>0.19442709703367517</v>
      </c>
      <c r="Q14" s="11"/>
      <c r="S14" s="11"/>
    </row>
    <row r="15" spans="1:22" x14ac:dyDescent="0.25">
      <c r="A15" s="266">
        <v>15000</v>
      </c>
      <c r="B15" s="268" t="s">
        <v>8</v>
      </c>
      <c r="C15" s="590">
        <v>11641.652537777018</v>
      </c>
      <c r="D15" s="592">
        <f t="shared" si="6"/>
        <v>0.15349878029904043</v>
      </c>
      <c r="E15" s="590">
        <v>106034</v>
      </c>
      <c r="F15" s="585">
        <v>115687</v>
      </c>
      <c r="G15" s="585">
        <f>E15+F15</f>
        <v>221721</v>
      </c>
      <c r="H15" s="591">
        <f t="shared" si="7"/>
        <v>0.10601092425885444</v>
      </c>
      <c r="I15" s="590">
        <v>6077.5523197744042</v>
      </c>
      <c r="J15" s="591">
        <f t="shared" si="8"/>
        <v>0.15625839859863927</v>
      </c>
      <c r="K15" s="590"/>
      <c r="L15" s="592">
        <v>0.13248883544322373</v>
      </c>
      <c r="M15" s="590">
        <v>14410.56</v>
      </c>
      <c r="N15" s="591">
        <f t="shared" si="9"/>
        <v>6.2401735159833167E-2</v>
      </c>
      <c r="O15" s="590"/>
      <c r="P15" s="591">
        <v>6.3681859192407472E-2</v>
      </c>
      <c r="Q15" s="11"/>
      <c r="S15" s="11"/>
    </row>
    <row r="16" spans="1:22" x14ac:dyDescent="0.25">
      <c r="A16" s="266">
        <v>21000</v>
      </c>
      <c r="B16" s="268" t="s">
        <v>12</v>
      </c>
      <c r="C16" s="590">
        <v>9875.4904244874742</v>
      </c>
      <c r="D16" s="592">
        <f t="shared" si="6"/>
        <v>0.13021138795327231</v>
      </c>
      <c r="E16" s="590">
        <v>82909</v>
      </c>
      <c r="F16" s="585">
        <v>198932</v>
      </c>
      <c r="G16" s="585">
        <f>E16+F16</f>
        <v>281841</v>
      </c>
      <c r="H16" s="591">
        <f t="shared" si="7"/>
        <v>0.13475595412270283</v>
      </c>
      <c r="I16" s="590">
        <v>5247.7435647268503</v>
      </c>
      <c r="J16" s="591">
        <f t="shared" si="8"/>
        <v>0.1349233972058953</v>
      </c>
      <c r="K16" s="590"/>
      <c r="L16" s="592">
        <v>0.16368212739699103</v>
      </c>
      <c r="M16" s="590">
        <v>90629.22</v>
      </c>
      <c r="N16" s="591">
        <f t="shared" si="9"/>
        <v>0.3924497440892134</v>
      </c>
      <c r="O16" s="590"/>
      <c r="P16" s="591">
        <v>6.998851886480234E-2</v>
      </c>
      <c r="Q16" s="11"/>
      <c r="S16" s="11"/>
    </row>
    <row r="17" spans="1:23" ht="15.75" thickBot="1" x14ac:dyDescent="0.3">
      <c r="A17" s="269">
        <v>26000</v>
      </c>
      <c r="B17" s="270" t="s">
        <v>17</v>
      </c>
      <c r="C17" s="590">
        <v>10306.124383103133</v>
      </c>
      <c r="D17" s="592">
        <f t="shared" si="6"/>
        <v>0.1358894295533245</v>
      </c>
      <c r="E17" s="595">
        <v>70113</v>
      </c>
      <c r="F17" s="585">
        <v>105075</v>
      </c>
      <c r="G17" s="596">
        <f>E17+F17</f>
        <v>175188</v>
      </c>
      <c r="H17" s="597">
        <f t="shared" si="7"/>
        <v>8.3762213768926674E-2</v>
      </c>
      <c r="I17" s="590">
        <v>4598.333114557412</v>
      </c>
      <c r="J17" s="591">
        <f t="shared" si="8"/>
        <v>0.11822657064851165</v>
      </c>
      <c r="K17" s="590"/>
      <c r="L17" s="592">
        <v>9.447014203297463E-2</v>
      </c>
      <c r="M17" s="590">
        <v>105111.71</v>
      </c>
      <c r="N17" s="591">
        <f t="shared" si="9"/>
        <v>0.45516295616667141</v>
      </c>
      <c r="O17" s="590"/>
      <c r="P17" s="591">
        <v>3.4474155662318574E-2</v>
      </c>
      <c r="Q17" s="11"/>
      <c r="S17" s="11"/>
    </row>
    <row r="18" spans="1:23" ht="15.75" thickBot="1" x14ac:dyDescent="0.3">
      <c r="A18" s="272">
        <v>2025</v>
      </c>
      <c r="B18" s="273" t="s">
        <v>102</v>
      </c>
      <c r="C18" s="598">
        <f>SUM(C13:C17)</f>
        <v>75841.987246395031</v>
      </c>
      <c r="D18" s="601">
        <f>SUM(D13:D17)</f>
        <v>0.99999999999999989</v>
      </c>
      <c r="E18" s="598">
        <f>SUM(E13:E17)</f>
        <v>799304</v>
      </c>
      <c r="F18" s="600">
        <f>SUM(F13:F17)</f>
        <v>1292188</v>
      </c>
      <c r="G18" s="600">
        <f>SUM(G13:G17)</f>
        <v>2091492</v>
      </c>
      <c r="H18" s="599">
        <f t="shared" ref="H18:N18" si="10">SUM(H13:H17)</f>
        <v>1</v>
      </c>
      <c r="I18" s="598">
        <f t="shared" si="10"/>
        <v>38894.244240816945</v>
      </c>
      <c r="J18" s="599">
        <f t="shared" si="10"/>
        <v>1</v>
      </c>
      <c r="K18" s="598">
        <f t="shared" si="10"/>
        <v>0</v>
      </c>
      <c r="L18" s="601">
        <f t="shared" si="10"/>
        <v>1</v>
      </c>
      <c r="M18" s="598">
        <f t="shared" si="10"/>
        <v>230932.04</v>
      </c>
      <c r="N18" s="599">
        <f t="shared" si="10"/>
        <v>1</v>
      </c>
      <c r="O18" s="598"/>
      <c r="P18" s="599">
        <f t="shared" ref="P18" si="11">SUM(P13:P17)</f>
        <v>0.99999999999999989</v>
      </c>
      <c r="Q18" s="11"/>
      <c r="S18" s="11"/>
    </row>
    <row r="19" spans="1:23" ht="15.75" thickBot="1" x14ac:dyDescent="0.3">
      <c r="C19" s="11"/>
      <c r="E19" s="11"/>
      <c r="F19" s="11"/>
      <c r="G19" s="11"/>
      <c r="I19" s="11"/>
      <c r="K19" s="11"/>
      <c r="M19" s="11"/>
      <c r="O19" s="11"/>
      <c r="Q19" s="11"/>
      <c r="S19" s="11"/>
    </row>
    <row r="20" spans="1:23" x14ac:dyDescent="0.25">
      <c r="A20" s="271">
        <v>11000</v>
      </c>
      <c r="B20" s="267" t="s">
        <v>4</v>
      </c>
      <c r="C20" s="11"/>
      <c r="D20" s="532"/>
      <c r="E20" s="583">
        <v>306269</v>
      </c>
      <c r="F20" s="586">
        <v>498650</v>
      </c>
      <c r="G20" s="586">
        <f>E20+F20</f>
        <v>804919</v>
      </c>
      <c r="H20" s="584">
        <f>G20/$G$25</f>
        <v>0.39799459760674871</v>
      </c>
      <c r="I20" s="11"/>
      <c r="J20" s="532"/>
      <c r="K20" s="11"/>
      <c r="L20" s="532"/>
      <c r="M20" s="11"/>
      <c r="N20" s="532"/>
      <c r="O20" s="11"/>
      <c r="P20" s="532"/>
      <c r="Q20" s="583">
        <v>2158115.9561399999</v>
      </c>
      <c r="R20" s="584">
        <f>Q20/$Q$25</f>
        <v>0.2884063484846377</v>
      </c>
      <c r="S20" s="583">
        <v>946.19699999999989</v>
      </c>
      <c r="T20" s="584">
        <f>S20/$S$25</f>
        <v>0.41303584007421562</v>
      </c>
      <c r="V20" s="484"/>
      <c r="W20" s="613"/>
    </row>
    <row r="21" spans="1:23" x14ac:dyDescent="0.25">
      <c r="A21" s="266">
        <v>14000</v>
      </c>
      <c r="B21" s="268" t="s">
        <v>7</v>
      </c>
      <c r="C21" s="11"/>
      <c r="D21" s="532"/>
      <c r="E21" s="590">
        <v>219021</v>
      </c>
      <c r="F21" s="585">
        <v>322997</v>
      </c>
      <c r="G21" s="585">
        <f>E21+F21</f>
        <v>542018</v>
      </c>
      <c r="H21" s="591">
        <f t="shared" ref="H21:H24" si="12">G21/$G$25</f>
        <v>0.26800241490835069</v>
      </c>
      <c r="I21" s="11"/>
      <c r="J21" s="532"/>
      <c r="K21" s="11"/>
      <c r="L21" s="532"/>
      <c r="M21" s="11"/>
      <c r="N21" s="532"/>
      <c r="O21" s="11"/>
      <c r="P21" s="532"/>
      <c r="Q21" s="590">
        <v>1935552.939</v>
      </c>
      <c r="R21" s="591">
        <f t="shared" ref="R21:R24" si="13">Q21/$Q$25</f>
        <v>0.25866346701506238</v>
      </c>
      <c r="S21" s="590">
        <v>489.12410000000011</v>
      </c>
      <c r="T21" s="591">
        <f t="shared" ref="T21:T24" si="14">S21/$S$25</f>
        <v>0.21351344756329255</v>
      </c>
      <c r="V21" s="484"/>
      <c r="W21" s="613"/>
    </row>
    <row r="22" spans="1:23" x14ac:dyDescent="0.25">
      <c r="A22" s="266">
        <v>15000</v>
      </c>
      <c r="B22" s="268" t="s">
        <v>8</v>
      </c>
      <c r="C22" s="11"/>
      <c r="D22" s="532"/>
      <c r="E22" s="590">
        <v>105165</v>
      </c>
      <c r="F22" s="585">
        <v>105563</v>
      </c>
      <c r="G22" s="585">
        <f>E22+F22</f>
        <v>210728</v>
      </c>
      <c r="H22" s="591">
        <f t="shared" si="12"/>
        <v>0.10419508741186993</v>
      </c>
      <c r="I22" s="11"/>
      <c r="J22" s="532"/>
      <c r="K22" s="11"/>
      <c r="L22" s="532"/>
      <c r="M22" s="11"/>
      <c r="N22" s="532"/>
      <c r="O22" s="11"/>
      <c r="P22" s="532"/>
      <c r="Q22" s="590">
        <v>661479</v>
      </c>
      <c r="R22" s="591">
        <f t="shared" si="13"/>
        <v>8.8398745417965774E-2</v>
      </c>
      <c r="S22" s="590">
        <v>302.37200000000001</v>
      </c>
      <c r="T22" s="591">
        <f t="shared" si="14"/>
        <v>0.13199204080642907</v>
      </c>
      <c r="V22" s="484"/>
      <c r="W22" s="613"/>
    </row>
    <row r="23" spans="1:23" x14ac:dyDescent="0.25">
      <c r="A23" s="266">
        <v>21000</v>
      </c>
      <c r="B23" s="268" t="s">
        <v>12</v>
      </c>
      <c r="C23" s="11"/>
      <c r="D23" s="532"/>
      <c r="E23" s="590">
        <v>86034</v>
      </c>
      <c r="F23" s="585">
        <v>210958</v>
      </c>
      <c r="G23" s="585">
        <f>E23+F23</f>
        <v>296992</v>
      </c>
      <c r="H23" s="591">
        <f t="shared" si="12"/>
        <v>0.14684857921408676</v>
      </c>
      <c r="I23" s="11"/>
      <c r="J23" s="532"/>
      <c r="K23" s="11"/>
      <c r="L23" s="532"/>
      <c r="M23" s="11"/>
      <c r="N23" s="532"/>
      <c r="O23" s="11"/>
      <c r="P23" s="532"/>
      <c r="Q23" s="590">
        <v>1680193.4498700006</v>
      </c>
      <c r="R23" s="591">
        <f t="shared" si="13"/>
        <v>0.22453772988710424</v>
      </c>
      <c r="S23" s="590">
        <v>338.86</v>
      </c>
      <c r="T23" s="591">
        <f t="shared" si="14"/>
        <v>0.14791985682426464</v>
      </c>
      <c r="V23" s="484"/>
      <c r="W23" s="613"/>
    </row>
    <row r="24" spans="1:23" ht="15.75" thickBot="1" x14ac:dyDescent="0.3">
      <c r="A24" s="269">
        <v>26000</v>
      </c>
      <c r="B24" s="270" t="s">
        <v>17</v>
      </c>
      <c r="C24" s="11"/>
      <c r="D24" s="532"/>
      <c r="E24" s="595">
        <v>66775</v>
      </c>
      <c r="F24" s="585">
        <v>101005</v>
      </c>
      <c r="G24" s="596">
        <f>E24+F24</f>
        <v>167780</v>
      </c>
      <c r="H24" s="597">
        <f t="shared" si="12"/>
        <v>8.2959320858943933E-2</v>
      </c>
      <c r="I24" s="11"/>
      <c r="J24" s="532"/>
      <c r="K24" s="11"/>
      <c r="L24" s="532"/>
      <c r="M24" s="11"/>
      <c r="N24" s="532"/>
      <c r="O24" s="11"/>
      <c r="P24" s="532"/>
      <c r="Q24" s="590">
        <v>1047558.97074</v>
      </c>
      <c r="R24" s="591">
        <f t="shared" si="13"/>
        <v>0.13999370919522997</v>
      </c>
      <c r="S24" s="590">
        <v>214.28200000000004</v>
      </c>
      <c r="T24" s="591">
        <f t="shared" si="14"/>
        <v>9.3538814731798037E-2</v>
      </c>
      <c r="V24" s="484"/>
      <c r="W24" s="613"/>
    </row>
    <row r="25" spans="1:23" ht="15.75" thickBot="1" x14ac:dyDescent="0.3">
      <c r="A25" s="272">
        <v>2024</v>
      </c>
      <c r="B25" s="273" t="s">
        <v>102</v>
      </c>
      <c r="C25" s="483"/>
      <c r="D25" s="533"/>
      <c r="E25" s="598">
        <f>SUM(E20:E24)</f>
        <v>783264</v>
      </c>
      <c r="F25" s="600">
        <f>SUM(F20:F24)</f>
        <v>1239173</v>
      </c>
      <c r="G25" s="600">
        <f>SUM(G20:G24)</f>
        <v>2022437</v>
      </c>
      <c r="H25" s="599">
        <f t="shared" ref="H25" si="15">SUM(H20:H24)</f>
        <v>1</v>
      </c>
      <c r="I25" s="483"/>
      <c r="J25" s="533"/>
      <c r="K25" s="483"/>
      <c r="L25" s="533"/>
      <c r="M25" s="483"/>
      <c r="N25" s="533"/>
      <c r="O25" s="483"/>
      <c r="P25" s="533"/>
      <c r="Q25" s="598">
        <f>SUM(Q20:Q24)</f>
        <v>7482900.3157500001</v>
      </c>
      <c r="R25" s="599">
        <f>SUM(R20:R24)</f>
        <v>1</v>
      </c>
      <c r="S25" s="598">
        <f>SUM(S20:S24)</f>
        <v>2290.8351000000002</v>
      </c>
      <c r="T25" s="599">
        <f>SUM(T20:T24)</f>
        <v>1</v>
      </c>
    </row>
    <row r="26" spans="1:23" ht="15.75" thickBot="1" x14ac:dyDescent="0.3">
      <c r="C26" s="11"/>
      <c r="E26" s="11"/>
      <c r="F26" s="11"/>
      <c r="G26" s="11"/>
      <c r="I26" s="11"/>
      <c r="K26" s="11"/>
      <c r="M26" s="11"/>
      <c r="O26" s="11"/>
      <c r="Q26" s="11"/>
      <c r="S26" s="11"/>
    </row>
    <row r="27" spans="1:23" x14ac:dyDescent="0.25">
      <c r="A27" s="271">
        <v>11000</v>
      </c>
      <c r="B27" s="267" t="s">
        <v>4</v>
      </c>
      <c r="C27" s="11"/>
      <c r="E27" s="583">
        <v>308525</v>
      </c>
      <c r="F27" s="586">
        <v>501427</v>
      </c>
      <c r="G27" s="586">
        <f>E27+F27</f>
        <v>809952</v>
      </c>
      <c r="H27" s="584">
        <f>G27/$G$32</f>
        <v>0.39583459584358816</v>
      </c>
      <c r="I27" s="11"/>
      <c r="K27" s="11"/>
      <c r="M27" s="11"/>
      <c r="O27" s="11"/>
      <c r="Q27" s="583">
        <v>2067001.2960400002</v>
      </c>
      <c r="R27" s="584">
        <f>Q27/$Q$32</f>
        <v>0.29124676493168383</v>
      </c>
      <c r="S27" s="583">
        <v>838.62900000000013</v>
      </c>
      <c r="T27" s="584">
        <f>S27/$S$32</f>
        <v>0.39347549540844629</v>
      </c>
    </row>
    <row r="28" spans="1:23" x14ac:dyDescent="0.25">
      <c r="A28" s="266">
        <v>14000</v>
      </c>
      <c r="B28" s="268" t="s">
        <v>7</v>
      </c>
      <c r="E28" s="590">
        <v>215591</v>
      </c>
      <c r="F28" s="585">
        <v>339528</v>
      </c>
      <c r="G28" s="585">
        <f>E28+F28</f>
        <v>555119</v>
      </c>
      <c r="H28" s="591">
        <f>G28/$G$32</f>
        <v>0.27129423102862493</v>
      </c>
      <c r="O28" s="11"/>
      <c r="Q28" s="590">
        <v>1901724.4737099998</v>
      </c>
      <c r="R28" s="591">
        <f t="shared" ref="R28:R31" si="16">Q28/$Q$32</f>
        <v>0.26795875833293531</v>
      </c>
      <c r="S28" s="590">
        <v>484.43529999999998</v>
      </c>
      <c r="T28" s="591">
        <f t="shared" ref="T28:T31" si="17">S28/$S$32</f>
        <v>0.22729171023281958</v>
      </c>
    </row>
    <row r="29" spans="1:23" x14ac:dyDescent="0.25">
      <c r="A29" s="266">
        <v>15000</v>
      </c>
      <c r="B29" s="268" t="s">
        <v>8</v>
      </c>
      <c r="E29" s="590">
        <v>102405</v>
      </c>
      <c r="F29" s="585">
        <v>124869</v>
      </c>
      <c r="G29" s="585">
        <f>E29+F29</f>
        <v>227274</v>
      </c>
      <c r="H29" s="591">
        <f>G29/$G$32</f>
        <v>0.11107190541631561</v>
      </c>
      <c r="N29" s="606"/>
      <c r="Q29" s="590">
        <v>663067</v>
      </c>
      <c r="R29" s="591">
        <f t="shared" si="16"/>
        <v>9.3428155586032915E-2</v>
      </c>
      <c r="S29" s="590">
        <v>275.01</v>
      </c>
      <c r="T29" s="591">
        <f t="shared" si="17"/>
        <v>0.12903166476746783</v>
      </c>
    </row>
    <row r="30" spans="1:23" x14ac:dyDescent="0.25">
      <c r="A30" s="266">
        <v>21000</v>
      </c>
      <c r="B30" s="268" t="s">
        <v>12</v>
      </c>
      <c r="E30" s="590">
        <v>76456</v>
      </c>
      <c r="F30" s="585">
        <v>205206</v>
      </c>
      <c r="G30" s="585">
        <f>E30+F30</f>
        <v>281662</v>
      </c>
      <c r="H30" s="591">
        <f>G30/$G$32</f>
        <v>0.13765206325127505</v>
      </c>
      <c r="N30" s="606"/>
      <c r="Q30" s="590">
        <v>1469839.2193500001</v>
      </c>
      <c r="R30" s="591">
        <f t="shared" si="16"/>
        <v>0.20710481334749728</v>
      </c>
      <c r="S30" s="590">
        <v>356.65</v>
      </c>
      <c r="T30" s="591">
        <f t="shared" si="17"/>
        <v>0.16733625409736883</v>
      </c>
    </row>
    <row r="31" spans="1:23" ht="15.75" thickBot="1" x14ac:dyDescent="0.3">
      <c r="A31" s="269">
        <v>26000</v>
      </c>
      <c r="B31" s="270" t="s">
        <v>17</v>
      </c>
      <c r="E31" s="595">
        <v>68275</v>
      </c>
      <c r="F31" s="585">
        <v>103906</v>
      </c>
      <c r="G31" s="596">
        <f>E31+F31</f>
        <v>172181</v>
      </c>
      <c r="H31" s="597">
        <f>G31/$G$32</f>
        <v>8.4147204460196232E-2</v>
      </c>
      <c r="N31" s="606"/>
      <c r="Q31" s="590">
        <v>995447</v>
      </c>
      <c r="R31" s="591">
        <f t="shared" si="16"/>
        <v>0.14026150780185065</v>
      </c>
      <c r="S31" s="590">
        <v>176.613</v>
      </c>
      <c r="T31" s="591">
        <f t="shared" si="17"/>
        <v>8.2864875493897663E-2</v>
      </c>
    </row>
    <row r="32" spans="1:23" ht="15.75" thickBot="1" x14ac:dyDescent="0.3">
      <c r="A32" s="272">
        <v>2023</v>
      </c>
      <c r="B32" s="273" t="s">
        <v>102</v>
      </c>
      <c r="E32" s="598">
        <f>SUM(E27:E31)</f>
        <v>771252</v>
      </c>
      <c r="F32" s="600">
        <f>SUM(F27:F31)</f>
        <v>1274936</v>
      </c>
      <c r="G32" s="600">
        <f>SUM(G27:G31)</f>
        <v>2046188</v>
      </c>
      <c r="H32" s="599">
        <f t="shared" ref="H32" si="18">SUM(H27:H31)</f>
        <v>0.99999999999999989</v>
      </c>
      <c r="N32" s="606"/>
      <c r="Q32" s="598">
        <f>SUM(Q27:Q31)</f>
        <v>7097078.9890999999</v>
      </c>
      <c r="R32" s="599">
        <f>SUM(R27:R31)</f>
        <v>1</v>
      </c>
      <c r="S32" s="598">
        <f>SUM(S27:S31)</f>
        <v>2131.3372999999997</v>
      </c>
      <c r="T32" s="599">
        <f>SUM(T27:T31)</f>
        <v>1.0000000000000002</v>
      </c>
    </row>
    <row r="33" spans="1:20" ht="15.75" thickBot="1" x14ac:dyDescent="0.3">
      <c r="E33" s="11"/>
      <c r="F33" s="11"/>
      <c r="G33" s="11"/>
      <c r="N33" s="606"/>
      <c r="Q33" s="11"/>
      <c r="S33" s="11"/>
    </row>
    <row r="34" spans="1:20" x14ac:dyDescent="0.25">
      <c r="A34" s="271">
        <v>11000</v>
      </c>
      <c r="B34" s="267" t="s">
        <v>4</v>
      </c>
      <c r="E34" s="11"/>
      <c r="F34" s="11"/>
      <c r="G34" s="11"/>
      <c r="H34" s="532"/>
      <c r="Q34" s="583">
        <v>2025553.9409799997</v>
      </c>
      <c r="R34" s="584">
        <f>Q34/$Q$39</f>
        <v>0.31420764677490026</v>
      </c>
      <c r="S34" s="583">
        <v>747.52929999999992</v>
      </c>
      <c r="T34" s="584">
        <f>S34/$S$39</f>
        <v>0.36693881742438972</v>
      </c>
    </row>
    <row r="35" spans="1:20" x14ac:dyDescent="0.25">
      <c r="A35" s="266">
        <v>14000</v>
      </c>
      <c r="B35" s="268" t="s">
        <v>7</v>
      </c>
      <c r="E35" s="11"/>
      <c r="F35" s="11"/>
      <c r="G35" s="11"/>
      <c r="H35" s="532"/>
      <c r="Q35" s="590">
        <v>1711535</v>
      </c>
      <c r="R35" s="591">
        <f>Q35/$Q$39</f>
        <v>0.26549645202866951</v>
      </c>
      <c r="S35" s="590">
        <v>501.51189999999997</v>
      </c>
      <c r="T35" s="591">
        <f>S35/$S$39</f>
        <v>0.2461765492138687</v>
      </c>
    </row>
    <row r="36" spans="1:20" x14ac:dyDescent="0.25">
      <c r="A36" s="266">
        <v>15000</v>
      </c>
      <c r="B36" s="268" t="s">
        <v>8</v>
      </c>
      <c r="E36" s="11"/>
      <c r="F36" s="11"/>
      <c r="G36" s="11"/>
      <c r="H36" s="532"/>
      <c r="Q36" s="590">
        <v>481131</v>
      </c>
      <c r="R36" s="591">
        <f>Q36/$Q$39</f>
        <v>7.4633924203130989E-2</v>
      </c>
      <c r="S36" s="590">
        <v>282.495</v>
      </c>
      <c r="T36" s="591">
        <f>S36/$S$39</f>
        <v>0.13866798428944924</v>
      </c>
    </row>
    <row r="37" spans="1:20" x14ac:dyDescent="0.25">
      <c r="A37" s="266">
        <v>21000</v>
      </c>
      <c r="B37" s="268" t="s">
        <v>12</v>
      </c>
      <c r="E37" s="11"/>
      <c r="F37" s="11"/>
      <c r="G37" s="11"/>
      <c r="H37" s="532"/>
      <c r="L37" s="605"/>
      <c r="Q37" s="590">
        <v>1294278.7168700001</v>
      </c>
      <c r="R37" s="591">
        <f>Q37/$Q$39</f>
        <v>0.20077089119720246</v>
      </c>
      <c r="S37" s="590">
        <v>330.83</v>
      </c>
      <c r="T37" s="591">
        <f>S37/$S$39</f>
        <v>0.16239412818803339</v>
      </c>
    </row>
    <row r="38" spans="1:20" ht="15.75" thickBot="1" x14ac:dyDescent="0.3">
      <c r="A38" s="269">
        <v>26000</v>
      </c>
      <c r="B38" s="270" t="s">
        <v>17</v>
      </c>
      <c r="E38" s="11"/>
      <c r="F38" s="11"/>
      <c r="G38" s="11"/>
      <c r="H38" s="532"/>
      <c r="Q38" s="590">
        <v>934047</v>
      </c>
      <c r="R38" s="591">
        <f>Q38/$Q$39</f>
        <v>0.14489108579609689</v>
      </c>
      <c r="S38" s="590">
        <v>174.83799999999999</v>
      </c>
      <c r="T38" s="591">
        <f>S38/$S$39</f>
        <v>8.5822520884258929E-2</v>
      </c>
    </row>
    <row r="39" spans="1:20" ht="15.75" thickBot="1" x14ac:dyDescent="0.3">
      <c r="A39" s="272">
        <v>2022</v>
      </c>
      <c r="B39" s="273" t="s">
        <v>102</v>
      </c>
      <c r="E39" s="483"/>
      <c r="F39" s="483"/>
      <c r="G39" s="483"/>
      <c r="H39" s="533"/>
      <c r="Q39" s="598">
        <f>SUM(Q34:Q38)</f>
        <v>6446545.6578499991</v>
      </c>
      <c r="R39" s="599">
        <f>SUM(R34:R38)</f>
        <v>1</v>
      </c>
      <c r="S39" s="598">
        <f>SUM(S34:S38)</f>
        <v>2037.2041999999999</v>
      </c>
      <c r="T39" s="599">
        <f>SUM(T34:T38)</f>
        <v>1</v>
      </c>
    </row>
    <row r="40" spans="1:20" x14ac:dyDescent="0.25">
      <c r="E40" s="11"/>
      <c r="F40" s="11"/>
      <c r="G40" s="11"/>
      <c r="Q40" s="11"/>
      <c r="S40" s="11"/>
    </row>
    <row r="41" spans="1:20" x14ac:dyDescent="0.25">
      <c r="Q41" s="11"/>
    </row>
    <row r="42" spans="1:20" x14ac:dyDescent="0.25">
      <c r="A42" s="441"/>
    </row>
    <row r="43" spans="1:20" x14ac:dyDescent="0.25">
      <c r="A43" s="35"/>
    </row>
  </sheetData>
  <mergeCells count="14">
    <mergeCell ref="A11:B11"/>
    <mergeCell ref="K4:L4"/>
    <mergeCell ref="M4:N4"/>
    <mergeCell ref="O4:P4"/>
    <mergeCell ref="Q4:R4"/>
    <mergeCell ref="I4:J4"/>
    <mergeCell ref="S4:T4"/>
    <mergeCell ref="U4:U5"/>
    <mergeCell ref="V4:V5"/>
    <mergeCell ref="A3:B3"/>
    <mergeCell ref="A4:A5"/>
    <mergeCell ref="B4:B5"/>
    <mergeCell ref="C4:D4"/>
    <mergeCell ref="E4:H4"/>
  </mergeCells>
  <pageMargins left="0.70866141732283472" right="0.70866141732283472" top="0.78740157480314965" bottom="0.78740157480314965" header="0.31496062992125984" footer="0.31496062992125984"/>
  <pageSetup paperSize="8" scale="66" orientation="landscape" r:id="rId1"/>
  <headerFooter>
    <oddHeader xml:space="preserve">&amp;LČ. j.: MSMT-5003/2026-1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496D3-CA0B-4F43-AF55-BBDD8E9E48FA}">
  <sheetPr>
    <tabColor rgb="FFFF0000"/>
  </sheetPr>
  <dimension ref="A1:F17"/>
  <sheetViews>
    <sheetView zoomScale="85" zoomScaleNormal="85" workbookViewId="0">
      <selection activeCell="A17" sqref="A17"/>
    </sheetView>
  </sheetViews>
  <sheetFormatPr defaultRowHeight="15" x14ac:dyDescent="0.25"/>
  <cols>
    <col min="2" max="2" width="40.5703125" customWidth="1"/>
    <col min="3" max="3" width="37.140625" customWidth="1"/>
    <col min="4" max="5" width="26.28515625" customWidth="1"/>
    <col min="6" max="6" width="37.42578125" customWidth="1"/>
  </cols>
  <sheetData>
    <row r="1" spans="1:6" ht="27.75" x14ac:dyDescent="0.25">
      <c r="A1" s="231" t="s">
        <v>146</v>
      </c>
    </row>
    <row r="2" spans="1:6" ht="15.75" customHeight="1" x14ac:dyDescent="0.25">
      <c r="A2" s="231"/>
    </row>
    <row r="3" spans="1:6" ht="15.75" customHeight="1" x14ac:dyDescent="0.25">
      <c r="A3" s="231"/>
      <c r="B3" s="372" t="s">
        <v>230</v>
      </c>
      <c r="C3" s="392">
        <v>700000000</v>
      </c>
    </row>
    <row r="4" spans="1:6" ht="15.75" thickBot="1" x14ac:dyDescent="0.3"/>
    <row r="5" spans="1:6" ht="15.75" thickBot="1" x14ac:dyDescent="0.3">
      <c r="A5" s="386" t="s">
        <v>2</v>
      </c>
      <c r="B5" s="387" t="s">
        <v>3</v>
      </c>
      <c r="C5" s="385" t="s">
        <v>106</v>
      </c>
      <c r="D5" s="387" t="s">
        <v>29</v>
      </c>
      <c r="E5" s="385" t="s">
        <v>107</v>
      </c>
    </row>
    <row r="6" spans="1:6" x14ac:dyDescent="0.25">
      <c r="A6" s="26">
        <v>11000</v>
      </c>
      <c r="B6" s="388" t="s">
        <v>4</v>
      </c>
      <c r="C6" s="389" t="s">
        <v>147</v>
      </c>
      <c r="D6" s="468">
        <v>0.222119161246212</v>
      </c>
      <c r="E6" s="471">
        <f>ROUND(D6*$C$3,0)</f>
        <v>155483413</v>
      </c>
      <c r="F6" s="464"/>
    </row>
    <row r="7" spans="1:6" x14ac:dyDescent="0.25">
      <c r="A7" s="25">
        <v>11000</v>
      </c>
      <c r="B7" s="390" t="s">
        <v>4</v>
      </c>
      <c r="C7" s="391" t="s">
        <v>148</v>
      </c>
      <c r="D7" s="469">
        <v>0.10049859404671686</v>
      </c>
      <c r="E7" s="472">
        <f t="shared" ref="E7:E13" si="0">ROUND(D7*$C$3,0)</f>
        <v>70349016</v>
      </c>
      <c r="F7" s="465"/>
    </row>
    <row r="8" spans="1:6" x14ac:dyDescent="0.25">
      <c r="A8" s="25">
        <v>11000</v>
      </c>
      <c r="B8" s="390" t="s">
        <v>4</v>
      </c>
      <c r="C8" s="391" t="s">
        <v>149</v>
      </c>
      <c r="D8" s="469">
        <v>9.6693303214819712E-2</v>
      </c>
      <c r="E8" s="472">
        <f t="shared" si="0"/>
        <v>67685312</v>
      </c>
    </row>
    <row r="9" spans="1:6" x14ac:dyDescent="0.25">
      <c r="A9" s="25">
        <v>11000</v>
      </c>
      <c r="B9" s="390" t="s">
        <v>4</v>
      </c>
      <c r="C9" s="391" t="s">
        <v>150</v>
      </c>
      <c r="D9" s="469">
        <v>0.12507229711211443</v>
      </c>
      <c r="E9" s="472">
        <f t="shared" si="0"/>
        <v>87550608</v>
      </c>
    </row>
    <row r="10" spans="1:6" x14ac:dyDescent="0.25">
      <c r="A10" s="25">
        <v>11000</v>
      </c>
      <c r="B10" s="390" t="s">
        <v>4</v>
      </c>
      <c r="C10" s="391" t="s">
        <v>151</v>
      </c>
      <c r="D10" s="469">
        <v>9.2036540155254684E-2</v>
      </c>
      <c r="E10" s="472">
        <f t="shared" si="0"/>
        <v>64425578</v>
      </c>
    </row>
    <row r="11" spans="1:6" x14ac:dyDescent="0.25">
      <c r="A11" s="25">
        <v>14000</v>
      </c>
      <c r="B11" s="390" t="s">
        <v>7</v>
      </c>
      <c r="C11" s="391" t="s">
        <v>152</v>
      </c>
      <c r="D11" s="469">
        <v>0.20003355171206388</v>
      </c>
      <c r="E11" s="472">
        <f t="shared" si="0"/>
        <v>140023486</v>
      </c>
    </row>
    <row r="12" spans="1:6" x14ac:dyDescent="0.25">
      <c r="A12" s="25">
        <v>15000</v>
      </c>
      <c r="B12" s="390" t="s">
        <v>8</v>
      </c>
      <c r="C12" s="391" t="s">
        <v>152</v>
      </c>
      <c r="D12" s="469">
        <v>0.11052606938767151</v>
      </c>
      <c r="E12" s="472">
        <f t="shared" si="0"/>
        <v>77368249</v>
      </c>
    </row>
    <row r="13" spans="1:6" ht="15.75" thickBot="1" x14ac:dyDescent="0.3">
      <c r="A13" s="32">
        <v>17000</v>
      </c>
      <c r="B13" s="466" t="s">
        <v>9</v>
      </c>
      <c r="C13" s="467" t="s">
        <v>152</v>
      </c>
      <c r="D13" s="470">
        <v>5.3020483125146914E-2</v>
      </c>
      <c r="E13" s="473">
        <f t="shared" si="0"/>
        <v>37114338</v>
      </c>
    </row>
    <row r="14" spans="1:6" ht="15.75" thickBot="1" x14ac:dyDescent="0.3">
      <c r="A14" s="880" t="s">
        <v>28</v>
      </c>
      <c r="B14" s="881"/>
      <c r="C14" s="881"/>
      <c r="D14" s="8">
        <f>SUM(D6:D13)</f>
        <v>0.99999999999999989</v>
      </c>
      <c r="E14" s="228">
        <f>SUM(E6:E13)</f>
        <v>700000000</v>
      </c>
    </row>
    <row r="17" spans="1:1" x14ac:dyDescent="0.25">
      <c r="A17" s="441" t="s">
        <v>187</v>
      </c>
    </row>
  </sheetData>
  <mergeCells count="1">
    <mergeCell ref="A14:C14"/>
  </mergeCells>
  <hyperlinks>
    <hyperlink ref="A17" location="'0 Seznam'!A1" display="Seznam" xr:uid="{B16C6632-712D-4BB3-8277-E62580020892}"/>
  </hyperlinks>
  <pageMargins left="0.70866141732283472" right="0.70866141732283472" top="0.78740157480314965" bottom="0.78740157480314965" header="0.31496062992125984" footer="0.31496062992125984"/>
  <pageSetup paperSize="9" scale="73" orientation="landscape" r:id="rId1"/>
  <headerFooter>
    <oddHeader xml:space="preserve">&amp;LČ. j.: MSMT-5003/2026-1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D51"/>
  <sheetViews>
    <sheetView zoomScale="70" zoomScaleNormal="70" workbookViewId="0">
      <selection activeCell="A12" sqref="A12"/>
    </sheetView>
  </sheetViews>
  <sheetFormatPr defaultRowHeight="15" x14ac:dyDescent="0.25"/>
  <cols>
    <col min="2" max="2" width="35.7109375" customWidth="1"/>
    <col min="3" max="3" width="35.140625" customWidth="1"/>
    <col min="4" max="4" width="26" customWidth="1"/>
  </cols>
  <sheetData>
    <row r="1" spans="1:4" ht="27.75" x14ac:dyDescent="0.25">
      <c r="A1" s="231" t="s">
        <v>208</v>
      </c>
      <c r="B1" s="643"/>
      <c r="C1" s="643"/>
      <c r="D1" s="643"/>
    </row>
    <row r="2" spans="1:4" x14ac:dyDescent="0.25">
      <c r="A2" s="643"/>
      <c r="B2" s="643"/>
      <c r="C2" s="643"/>
      <c r="D2" s="643"/>
    </row>
    <row r="3" spans="1:4" x14ac:dyDescent="0.25">
      <c r="A3" s="643"/>
      <c r="B3" s="372" t="s">
        <v>229</v>
      </c>
      <c r="C3" s="275">
        <v>34989500</v>
      </c>
      <c r="D3" s="643" t="s">
        <v>33</v>
      </c>
    </row>
    <row r="4" spans="1:4" ht="15.75" thickBot="1" x14ac:dyDescent="0.3">
      <c r="A4" s="643"/>
      <c r="B4" s="643"/>
      <c r="C4" s="643"/>
      <c r="D4" s="643"/>
    </row>
    <row r="5" spans="1:4" ht="15" customHeight="1" x14ac:dyDescent="0.25">
      <c r="A5" s="882" t="s">
        <v>2</v>
      </c>
      <c r="B5" s="884" t="s">
        <v>3</v>
      </c>
      <c r="C5" s="886" t="s">
        <v>107</v>
      </c>
      <c r="D5" s="643"/>
    </row>
    <row r="6" spans="1:4" ht="39" customHeight="1" x14ac:dyDescent="0.25">
      <c r="A6" s="883"/>
      <c r="B6" s="885"/>
      <c r="C6" s="887"/>
      <c r="D6" s="643"/>
    </row>
    <row r="7" spans="1:4" ht="39" customHeight="1" x14ac:dyDescent="0.25">
      <c r="A7" s="883"/>
      <c r="B7" s="885"/>
      <c r="C7" s="887"/>
      <c r="D7" s="643"/>
    </row>
    <row r="8" spans="1:4" ht="15" customHeight="1" thickBot="1" x14ac:dyDescent="0.3">
      <c r="A8" s="883"/>
      <c r="B8" s="885"/>
      <c r="C8" s="887"/>
      <c r="D8" s="643"/>
    </row>
    <row r="9" spans="1:4" ht="15" customHeight="1" thickBot="1" x14ac:dyDescent="0.3">
      <c r="A9" s="644">
        <v>16000</v>
      </c>
      <c r="B9" s="645" t="s">
        <v>193</v>
      </c>
      <c r="C9" s="646">
        <v>34989500</v>
      </c>
      <c r="D9" s="643"/>
    </row>
    <row r="10" spans="1:4" ht="15" customHeight="1" x14ac:dyDescent="0.25"/>
    <row r="11" spans="1:4" ht="15" customHeight="1" x14ac:dyDescent="0.25"/>
    <row r="12" spans="1:4" ht="15" customHeight="1" x14ac:dyDescent="0.25">
      <c r="A12" s="441" t="s">
        <v>187</v>
      </c>
    </row>
    <row r="13" spans="1:4" ht="15" customHeight="1" x14ac:dyDescent="0.25"/>
    <row r="14" spans="1:4" ht="15" customHeight="1" x14ac:dyDescent="0.25"/>
    <row r="15" spans="1:4" ht="15" customHeight="1" x14ac:dyDescent="0.25"/>
    <row r="21" ht="33" customHeight="1" x14ac:dyDescent="0.25"/>
    <row r="22" ht="33" customHeight="1" x14ac:dyDescent="0.25"/>
    <row r="33" ht="42.75" customHeight="1" x14ac:dyDescent="0.25"/>
    <row r="34" ht="42.75" customHeight="1" x14ac:dyDescent="0.25"/>
    <row r="35" ht="60.7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7" ht="42" customHeight="1" x14ac:dyDescent="0.25"/>
    <row r="48" ht="77.25" customHeight="1" x14ac:dyDescent="0.25"/>
    <row r="51" ht="15" customHeight="1" x14ac:dyDescent="0.25"/>
  </sheetData>
  <mergeCells count="3">
    <mergeCell ref="A5:A8"/>
    <mergeCell ref="B5:B8"/>
    <mergeCell ref="C5:C8"/>
  </mergeCells>
  <hyperlinks>
    <hyperlink ref="A12" location="'0 Seznam'!A1" display="Seznam" xr:uid="{50462AA4-A3F5-42AF-9222-E017E681BD7C}"/>
  </hyperlinks>
  <pageMargins left="0.70866141732283472" right="0.70866141732283472" top="0.78740157480314965" bottom="0.78740157480314965" header="0.31496062992125984" footer="0.31496062992125984"/>
  <pageSetup paperSize="9" scale="73" orientation="landscape" r:id="rId1"/>
  <headerFooter>
    <oddHeader xml:space="preserve">&amp;LČ. j.: MSMT-5003/2026-1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5E942-6796-421D-B37E-6176ECE38858}">
  <sheetPr>
    <tabColor rgb="FFFF0000"/>
    <pageSetUpPr fitToPage="1"/>
  </sheetPr>
  <dimension ref="A1:K41"/>
  <sheetViews>
    <sheetView zoomScale="85" zoomScaleNormal="85" workbookViewId="0"/>
  </sheetViews>
  <sheetFormatPr defaultRowHeight="14.25" x14ac:dyDescent="0.2"/>
  <cols>
    <col min="1" max="1" width="9.140625" style="643"/>
    <col min="2" max="2" width="63.28515625" style="643" customWidth="1"/>
    <col min="3" max="14" width="16.85546875" style="643" customWidth="1"/>
    <col min="15" max="16384" width="9.140625" style="643"/>
  </cols>
  <sheetData>
    <row r="1" spans="1:11" ht="27.75" x14ac:dyDescent="0.2">
      <c r="A1" s="231" t="s">
        <v>251</v>
      </c>
    </row>
    <row r="5" spans="1:11" ht="15" x14ac:dyDescent="0.25">
      <c r="B5" s="732" t="s">
        <v>252</v>
      </c>
      <c r="C5" s="733">
        <v>394000000</v>
      </c>
    </row>
    <row r="6" spans="1:11" x14ac:dyDescent="0.2">
      <c r="B6" s="734" t="s">
        <v>253</v>
      </c>
      <c r="C6" s="735">
        <v>70703.774688344245</v>
      </c>
    </row>
    <row r="7" spans="1:11" x14ac:dyDescent="0.2">
      <c r="B7" s="734" t="s">
        <v>254</v>
      </c>
      <c r="C7" s="734">
        <v>2.25</v>
      </c>
    </row>
    <row r="8" spans="1:11" x14ac:dyDescent="0.2">
      <c r="B8" s="734" t="s">
        <v>255</v>
      </c>
      <c r="C8" s="735">
        <f>C7*C6</f>
        <v>159083.49304877454</v>
      </c>
    </row>
    <row r="9" spans="1:11" x14ac:dyDescent="0.2">
      <c r="B9" s="734" t="s">
        <v>256</v>
      </c>
      <c r="C9" s="735">
        <v>198078.92292449644</v>
      </c>
    </row>
    <row r="10" spans="1:11" x14ac:dyDescent="0.2">
      <c r="B10" s="734" t="s">
        <v>257</v>
      </c>
      <c r="C10" s="735">
        <f>C9-C8</f>
        <v>38995.429875721893</v>
      </c>
    </row>
    <row r="11" spans="1:11" ht="15" thickBot="1" x14ac:dyDescent="0.25"/>
    <row r="12" spans="1:11" ht="57" customHeight="1" x14ac:dyDescent="0.2">
      <c r="A12" s="882" t="s">
        <v>2</v>
      </c>
      <c r="B12" s="896" t="s">
        <v>3</v>
      </c>
      <c r="C12" s="899" t="s">
        <v>258</v>
      </c>
      <c r="D12" s="888" t="s">
        <v>259</v>
      </c>
      <c r="E12" s="888" t="s">
        <v>260</v>
      </c>
      <c r="F12" s="901" t="s">
        <v>261</v>
      </c>
      <c r="G12" s="888" t="s">
        <v>262</v>
      </c>
      <c r="H12" s="890" t="s">
        <v>263</v>
      </c>
      <c r="I12" s="892" t="s">
        <v>264</v>
      </c>
      <c r="J12" s="893"/>
      <c r="K12" s="894"/>
    </row>
    <row r="13" spans="1:11" ht="30" x14ac:dyDescent="0.2">
      <c r="A13" s="883"/>
      <c r="B13" s="897"/>
      <c r="C13" s="900"/>
      <c r="D13" s="889"/>
      <c r="E13" s="889"/>
      <c r="F13" s="902"/>
      <c r="G13" s="889"/>
      <c r="H13" s="891"/>
      <c r="I13" s="736" t="s">
        <v>265</v>
      </c>
      <c r="J13" s="737" t="s">
        <v>266</v>
      </c>
      <c r="K13" s="738" t="s">
        <v>28</v>
      </c>
    </row>
    <row r="14" spans="1:11" ht="15.75" thickBot="1" x14ac:dyDescent="0.3">
      <c r="A14" s="895"/>
      <c r="B14" s="898"/>
      <c r="C14" s="739" t="s">
        <v>267</v>
      </c>
      <c r="D14" s="740" t="s">
        <v>268</v>
      </c>
      <c r="E14" s="740" t="s">
        <v>269</v>
      </c>
      <c r="F14" s="741" t="s">
        <v>270</v>
      </c>
      <c r="G14" s="740" t="s">
        <v>271</v>
      </c>
      <c r="H14" s="742" t="s">
        <v>272</v>
      </c>
      <c r="I14" s="743" t="s">
        <v>273</v>
      </c>
      <c r="J14" s="744" t="s">
        <v>274</v>
      </c>
      <c r="K14" s="745" t="s">
        <v>275</v>
      </c>
    </row>
    <row r="15" spans="1:11" x14ac:dyDescent="0.2">
      <c r="A15" s="26">
        <v>11000</v>
      </c>
      <c r="B15" s="746" t="s">
        <v>4</v>
      </c>
      <c r="C15" s="747">
        <v>358</v>
      </c>
      <c r="D15" s="748">
        <v>387</v>
      </c>
      <c r="E15" s="749">
        <v>72</v>
      </c>
      <c r="F15" s="750">
        <f t="shared" ref="F15:F27" si="0">C15+E15</f>
        <v>430</v>
      </c>
      <c r="G15" s="749">
        <v>495.5</v>
      </c>
      <c r="H15" s="751">
        <v>546.5</v>
      </c>
      <c r="I15" s="752">
        <f t="shared" ref="I15:I27" si="1">E15*$C$9</f>
        <v>14261682.450563744</v>
      </c>
      <c r="J15" s="749">
        <f>(G15+H15-E15)*$C$10</f>
        <v>37825566.979450233</v>
      </c>
      <c r="K15" s="753">
        <f>J15+I15</f>
        <v>52087249.430013977</v>
      </c>
    </row>
    <row r="16" spans="1:11" x14ac:dyDescent="0.2">
      <c r="A16" s="26">
        <v>12000</v>
      </c>
      <c r="B16" s="746" t="s">
        <v>5</v>
      </c>
      <c r="C16" s="754">
        <v>290</v>
      </c>
      <c r="D16" s="755">
        <v>292</v>
      </c>
      <c r="E16" s="735">
        <v>58</v>
      </c>
      <c r="F16" s="756">
        <f t="shared" si="0"/>
        <v>348</v>
      </c>
      <c r="G16" s="735">
        <v>414</v>
      </c>
      <c r="H16" s="757">
        <v>490</v>
      </c>
      <c r="I16" s="758">
        <f t="shared" si="1"/>
        <v>11488577.529620793</v>
      </c>
      <c r="J16" s="735">
        <f t="shared" ref="J16:J27" si="2">(G16+H16-E16)*$C$10</f>
        <v>32990133.674860723</v>
      </c>
      <c r="K16" s="759">
        <f t="shared" ref="K16:K27" si="3">J16+I16</f>
        <v>44478711.204481512</v>
      </c>
    </row>
    <row r="17" spans="1:11" x14ac:dyDescent="0.2">
      <c r="A17" s="26">
        <v>13000</v>
      </c>
      <c r="B17" s="746" t="s">
        <v>6</v>
      </c>
      <c r="C17" s="754">
        <v>275</v>
      </c>
      <c r="D17" s="755">
        <v>290</v>
      </c>
      <c r="E17" s="735">
        <v>55</v>
      </c>
      <c r="F17" s="756">
        <f t="shared" si="0"/>
        <v>330</v>
      </c>
      <c r="G17" s="735">
        <v>364.5</v>
      </c>
      <c r="H17" s="757">
        <v>422.5</v>
      </c>
      <c r="I17" s="758">
        <f t="shared" si="1"/>
        <v>10894340.760847304</v>
      </c>
      <c r="J17" s="735">
        <f t="shared" si="2"/>
        <v>28544654.669028427</v>
      </c>
      <c r="K17" s="759">
        <f t="shared" si="3"/>
        <v>39438995.429875731</v>
      </c>
    </row>
    <row r="18" spans="1:11" x14ac:dyDescent="0.2">
      <c r="A18" s="26">
        <v>14000</v>
      </c>
      <c r="B18" s="746" t="s">
        <v>7</v>
      </c>
      <c r="C18" s="754">
        <v>141</v>
      </c>
      <c r="D18" s="755">
        <v>146</v>
      </c>
      <c r="E18" s="735">
        <v>28</v>
      </c>
      <c r="F18" s="756">
        <f t="shared" si="0"/>
        <v>169</v>
      </c>
      <c r="G18" s="735">
        <v>183</v>
      </c>
      <c r="H18" s="757">
        <v>210</v>
      </c>
      <c r="I18" s="758">
        <f t="shared" si="1"/>
        <v>5546209.8418859001</v>
      </c>
      <c r="J18" s="735">
        <f t="shared" si="2"/>
        <v>14233331.904638492</v>
      </c>
      <c r="K18" s="759">
        <f t="shared" si="3"/>
        <v>19779541.746524394</v>
      </c>
    </row>
    <row r="19" spans="1:11" x14ac:dyDescent="0.2">
      <c r="A19" s="26">
        <v>15000</v>
      </c>
      <c r="B19" s="746" t="s">
        <v>8</v>
      </c>
      <c r="C19" s="754">
        <v>228</v>
      </c>
      <c r="D19" s="755">
        <v>230</v>
      </c>
      <c r="E19" s="735">
        <v>46</v>
      </c>
      <c r="F19" s="756">
        <f t="shared" si="0"/>
        <v>274</v>
      </c>
      <c r="G19" s="735">
        <v>282.5</v>
      </c>
      <c r="H19" s="757">
        <v>364.5</v>
      </c>
      <c r="I19" s="758">
        <f t="shared" si="1"/>
        <v>9111630.4545268361</v>
      </c>
      <c r="J19" s="735">
        <f t="shared" si="2"/>
        <v>23436253.355308857</v>
      </c>
      <c r="K19" s="759">
        <f t="shared" si="3"/>
        <v>32547883.809835695</v>
      </c>
    </row>
    <row r="20" spans="1:11" x14ac:dyDescent="0.2">
      <c r="A20" s="26">
        <v>17000</v>
      </c>
      <c r="B20" s="746" t="s">
        <v>9</v>
      </c>
      <c r="C20" s="754">
        <v>257</v>
      </c>
      <c r="D20" s="755">
        <v>252</v>
      </c>
      <c r="E20" s="735">
        <v>51</v>
      </c>
      <c r="F20" s="756">
        <f t="shared" si="0"/>
        <v>308</v>
      </c>
      <c r="G20" s="735">
        <v>336</v>
      </c>
      <c r="H20" s="757">
        <v>332</v>
      </c>
      <c r="I20" s="758">
        <f t="shared" si="1"/>
        <v>10102025.069149319</v>
      </c>
      <c r="J20" s="735">
        <f t="shared" si="2"/>
        <v>24060180.233320408</v>
      </c>
      <c r="K20" s="759">
        <f t="shared" si="3"/>
        <v>34162205.30246973</v>
      </c>
    </row>
    <row r="21" spans="1:11" x14ac:dyDescent="0.2">
      <c r="A21" s="25">
        <v>19000</v>
      </c>
      <c r="B21" s="760" t="s">
        <v>11</v>
      </c>
      <c r="C21" s="754">
        <v>177</v>
      </c>
      <c r="D21" s="755">
        <v>184</v>
      </c>
      <c r="E21" s="735">
        <v>35</v>
      </c>
      <c r="F21" s="756">
        <f t="shared" si="0"/>
        <v>212</v>
      </c>
      <c r="G21" s="735">
        <v>216</v>
      </c>
      <c r="H21" s="757">
        <v>243.5</v>
      </c>
      <c r="I21" s="758">
        <f t="shared" si="1"/>
        <v>6932762.3023573756</v>
      </c>
      <c r="J21" s="735">
        <f t="shared" si="2"/>
        <v>16553559.982243944</v>
      </c>
      <c r="K21" s="759">
        <f t="shared" si="3"/>
        <v>23486322.28460132</v>
      </c>
    </row>
    <row r="22" spans="1:11" x14ac:dyDescent="0.2">
      <c r="A22" s="25">
        <v>21000</v>
      </c>
      <c r="B22" s="760" t="s">
        <v>12</v>
      </c>
      <c r="C22" s="754">
        <v>87</v>
      </c>
      <c r="D22" s="755">
        <v>79</v>
      </c>
      <c r="E22" s="735">
        <v>18</v>
      </c>
      <c r="F22" s="756">
        <f t="shared" si="0"/>
        <v>105</v>
      </c>
      <c r="G22" s="735">
        <v>116.5</v>
      </c>
      <c r="H22" s="757">
        <v>139.5</v>
      </c>
      <c r="I22" s="758">
        <f t="shared" si="1"/>
        <v>3565420.6126409359</v>
      </c>
      <c r="J22" s="735">
        <f t="shared" si="2"/>
        <v>9280912.3104218114</v>
      </c>
      <c r="K22" s="759">
        <f t="shared" si="3"/>
        <v>12846332.923062747</v>
      </c>
    </row>
    <row r="23" spans="1:11" x14ac:dyDescent="0.2">
      <c r="A23" s="25">
        <v>23000</v>
      </c>
      <c r="B23" s="760" t="s">
        <v>14</v>
      </c>
      <c r="C23" s="754">
        <v>221</v>
      </c>
      <c r="D23" s="755">
        <v>229</v>
      </c>
      <c r="E23" s="735">
        <v>44</v>
      </c>
      <c r="F23" s="756">
        <f t="shared" si="0"/>
        <v>265</v>
      </c>
      <c r="G23" s="735">
        <v>283.5</v>
      </c>
      <c r="H23" s="757">
        <v>336.5</v>
      </c>
      <c r="I23" s="758">
        <f t="shared" si="1"/>
        <v>8715472.6086778436</v>
      </c>
      <c r="J23" s="735">
        <f t="shared" si="2"/>
        <v>22461367.608415812</v>
      </c>
      <c r="K23" s="759">
        <f t="shared" si="3"/>
        <v>31176840.217093654</v>
      </c>
    </row>
    <row r="24" spans="1:11" x14ac:dyDescent="0.2">
      <c r="A24" s="25">
        <v>24000</v>
      </c>
      <c r="B24" s="760" t="s">
        <v>15</v>
      </c>
      <c r="C24" s="754">
        <v>152</v>
      </c>
      <c r="D24" s="755">
        <v>156</v>
      </c>
      <c r="E24" s="735">
        <v>30</v>
      </c>
      <c r="F24" s="756">
        <f t="shared" si="0"/>
        <v>182</v>
      </c>
      <c r="G24" s="735">
        <v>188</v>
      </c>
      <c r="H24" s="757">
        <v>279</v>
      </c>
      <c r="I24" s="758">
        <f t="shared" si="1"/>
        <v>5942367.6877348935</v>
      </c>
      <c r="J24" s="735">
        <f t="shared" si="2"/>
        <v>17041002.855690468</v>
      </c>
      <c r="K24" s="759">
        <f t="shared" si="3"/>
        <v>22983370.543425363</v>
      </c>
    </row>
    <row r="25" spans="1:11" x14ac:dyDescent="0.2">
      <c r="A25" s="25">
        <v>25000</v>
      </c>
      <c r="B25" s="760" t="s">
        <v>16</v>
      </c>
      <c r="C25" s="754">
        <v>244</v>
      </c>
      <c r="D25" s="755">
        <v>245.5</v>
      </c>
      <c r="E25" s="735">
        <v>49</v>
      </c>
      <c r="F25" s="756">
        <f t="shared" si="0"/>
        <v>293</v>
      </c>
      <c r="G25" s="735">
        <v>299</v>
      </c>
      <c r="H25" s="757">
        <v>376</v>
      </c>
      <c r="I25" s="758">
        <f t="shared" si="1"/>
        <v>9705867.2233003248</v>
      </c>
      <c r="J25" s="735">
        <f t="shared" si="2"/>
        <v>24411139.102201905</v>
      </c>
      <c r="K25" s="759">
        <f t="shared" si="3"/>
        <v>34117006.325502232</v>
      </c>
    </row>
    <row r="26" spans="1:11" x14ac:dyDescent="0.2">
      <c r="A26" s="25">
        <v>28000</v>
      </c>
      <c r="B26" s="760" t="s">
        <v>19</v>
      </c>
      <c r="C26" s="754">
        <v>154</v>
      </c>
      <c r="D26" s="755">
        <v>161</v>
      </c>
      <c r="E26" s="735">
        <v>31</v>
      </c>
      <c r="F26" s="756">
        <f t="shared" si="0"/>
        <v>185</v>
      </c>
      <c r="G26" s="735">
        <v>229.5</v>
      </c>
      <c r="H26" s="757">
        <v>211.5</v>
      </c>
      <c r="I26" s="758">
        <f t="shared" si="1"/>
        <v>6140446.6106593898</v>
      </c>
      <c r="J26" s="735">
        <f t="shared" si="2"/>
        <v>15988126.249045976</v>
      </c>
      <c r="K26" s="759">
        <f t="shared" si="3"/>
        <v>22128572.859705366</v>
      </c>
    </row>
    <row r="27" spans="1:11" ht="15" thickBot="1" x14ac:dyDescent="0.25">
      <c r="A27" s="32">
        <v>55000</v>
      </c>
      <c r="B27" s="761" t="s">
        <v>26</v>
      </c>
      <c r="C27" s="762">
        <v>163</v>
      </c>
      <c r="D27" s="763">
        <v>172</v>
      </c>
      <c r="E27" s="764">
        <v>33</v>
      </c>
      <c r="F27" s="765">
        <f t="shared" si="0"/>
        <v>196</v>
      </c>
      <c r="G27" s="764">
        <v>207</v>
      </c>
      <c r="H27" s="766">
        <v>293.5</v>
      </c>
      <c r="I27" s="767">
        <f t="shared" si="1"/>
        <v>6536604.4565083822</v>
      </c>
      <c r="J27" s="764">
        <f t="shared" si="2"/>
        <v>18230363.466899984</v>
      </c>
      <c r="K27" s="768">
        <f t="shared" si="3"/>
        <v>24766967.923408367</v>
      </c>
    </row>
    <row r="28" spans="1:11" ht="15.75" thickBot="1" x14ac:dyDescent="0.3">
      <c r="A28" s="769" t="s">
        <v>28</v>
      </c>
      <c r="B28" s="770"/>
      <c r="C28" s="771">
        <f t="shared" ref="C28:H28" si="4">SUM(C15:C27)</f>
        <v>2747</v>
      </c>
      <c r="D28" s="772">
        <f t="shared" si="4"/>
        <v>2823.5</v>
      </c>
      <c r="E28" s="773">
        <f t="shared" si="4"/>
        <v>550</v>
      </c>
      <c r="F28" s="774">
        <f t="shared" si="4"/>
        <v>3297</v>
      </c>
      <c r="G28" s="773">
        <f t="shared" si="4"/>
        <v>3615</v>
      </c>
      <c r="H28" s="775">
        <f t="shared" si="4"/>
        <v>4245</v>
      </c>
      <c r="I28" s="776">
        <f t="shared" ref="I28:K28" si="5">SUM(I15:I27)</f>
        <v>108943407.60847303</v>
      </c>
      <c r="J28" s="773">
        <f t="shared" si="5"/>
        <v>285056592.39152706</v>
      </c>
      <c r="K28" s="777">
        <f t="shared" si="5"/>
        <v>394000000.00000018</v>
      </c>
    </row>
    <row r="29" spans="1:11" x14ac:dyDescent="0.2">
      <c r="C29" s="778"/>
    </row>
    <row r="30" spans="1:11" x14ac:dyDescent="0.2">
      <c r="A30" s="383" t="s">
        <v>276</v>
      </c>
      <c r="H30" s="779"/>
      <c r="I30" s="779"/>
    </row>
    <row r="31" spans="1:11" x14ac:dyDescent="0.2">
      <c r="H31" s="779"/>
    </row>
    <row r="32" spans="1:11" x14ac:dyDescent="0.2">
      <c r="H32" s="779"/>
    </row>
    <row r="33" spans="2:8" x14ac:dyDescent="0.2">
      <c r="H33" s="779"/>
    </row>
    <row r="37" spans="2:8" x14ac:dyDescent="0.2">
      <c r="B37" s="779"/>
    </row>
    <row r="40" spans="2:8" x14ac:dyDescent="0.2">
      <c r="B40" s="779"/>
    </row>
    <row r="41" spans="2:8" x14ac:dyDescent="0.2">
      <c r="B41" s="779"/>
    </row>
  </sheetData>
  <mergeCells count="9">
    <mergeCell ref="G12:G13"/>
    <mergeCell ref="H12:H13"/>
    <mergeCell ref="I12:K12"/>
    <mergeCell ref="A12:A14"/>
    <mergeCell ref="B12:B14"/>
    <mergeCell ref="C12:C13"/>
    <mergeCell ref="D12:D13"/>
    <mergeCell ref="E12:E13"/>
    <mergeCell ref="F12:F13"/>
  </mergeCells>
  <pageMargins left="0.25" right="0.25" top="0.75" bottom="0.75" header="0.3" footer="0.3"/>
  <pageSetup paperSize="9" scale="63" orientation="landscape" r:id="rId1"/>
  <headerFooter>
    <oddHeader xml:space="preserve">&amp;LČ. j.: MSMT-5003/2026-1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0 Seznam</vt:lpstr>
      <vt:lpstr>1 Bilance</vt:lpstr>
      <vt:lpstr>2a Výkonová část segment 1</vt:lpstr>
      <vt:lpstr>2b Výkonová část segment 2</vt:lpstr>
      <vt:lpstr>2c Výkonová část segment 3</vt:lpstr>
      <vt:lpstr>2d Výkonová část segment 4</vt:lpstr>
      <vt:lpstr>3a Ukazatel P - lékařské fakult</vt:lpstr>
      <vt:lpstr>3b Ukazatel P - VETUNI</vt:lpstr>
      <vt:lpstr>3c Ukazatel P - NLZSP</vt:lpstr>
      <vt:lpstr>4 RO I</vt:lpstr>
      <vt:lpstr>5 Ukazatel C</vt:lpstr>
      <vt:lpstr>6 Ukazatel U</vt:lpstr>
      <vt:lpstr>7 Ukazatel I</vt:lpstr>
      <vt:lpstr>8 Fond umělecké činnosti</vt:lpstr>
      <vt:lpstr>9a U3V</vt:lpstr>
      <vt:lpstr>9b SSP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Ludvík Jiří</dc:creator>
  <cp:lastModifiedBy>Ludvík Jiří</cp:lastModifiedBy>
  <cp:lastPrinted>2026-04-08T10:38:40Z</cp:lastPrinted>
  <dcterms:created xsi:type="dcterms:W3CDTF">2018-12-11T07:31:06Z</dcterms:created>
  <dcterms:modified xsi:type="dcterms:W3CDTF">2026-04-14T13:53:31Z</dcterms:modified>
</cp:coreProperties>
</file>