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I\10_odbor\101_oddělení\8_Vyšinská\2022\Krajské normativy 2022\Materiál 2022\"/>
    </mc:Choice>
  </mc:AlternateContent>
  <xr:revisionPtr revIDLastSave="0" documentId="13_ncr:1_{E9B89A6F-2A02-4A76-B5F5-3A9F923437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ul" sheetId="7" r:id="rId1"/>
    <sheet name="DD 2022" sheetId="4" r:id="rId2"/>
    <sheet name="DD se školou 2022 " sheetId="6" r:id="rId3"/>
  </sheets>
  <definedNames>
    <definedName name="_xlnm.Print_Titles" localSheetId="1">'DD 2022'!$1:$6</definedName>
    <definedName name="_xlnm.Print_Titles" localSheetId="2">'DD se školou 2022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6" i="4" l="1"/>
  <c r="V16" i="4"/>
  <c r="Y14" i="4"/>
  <c r="W14" i="4"/>
  <c r="V14" i="4"/>
  <c r="L16" i="4" l="1"/>
  <c r="K16" i="4"/>
  <c r="J16" i="4"/>
  <c r="I16" i="4"/>
  <c r="H16" i="4"/>
  <c r="L14" i="4"/>
  <c r="K14" i="4"/>
  <c r="J14" i="4"/>
  <c r="I14" i="4"/>
  <c r="H14" i="4"/>
  <c r="L13" i="4"/>
  <c r="K13" i="4"/>
  <c r="J13" i="4"/>
  <c r="I13" i="4"/>
  <c r="H13" i="4"/>
  <c r="P11" i="6" l="1"/>
  <c r="P12" i="6"/>
  <c r="Y12" i="4"/>
  <c r="W16" i="4"/>
  <c r="W12" i="4" s="1"/>
  <c r="Y11" i="4"/>
  <c r="W11" i="4"/>
  <c r="V12" i="4"/>
  <c r="V11" i="4"/>
  <c r="X11" i="4"/>
  <c r="X12" i="4"/>
  <c r="X9" i="4" l="1"/>
  <c r="X10" i="4" s="1"/>
  <c r="X8" i="4" s="1"/>
  <c r="P9" i="6"/>
  <c r="O11" i="6"/>
  <c r="O12" i="6"/>
  <c r="P10" i="6"/>
  <c r="P8" i="6" s="1"/>
  <c r="Y9" i="4"/>
  <c r="Y10" i="4" s="1"/>
  <c r="V9" i="4"/>
  <c r="W9" i="4"/>
  <c r="O9" i="6" l="1"/>
  <c r="Y8" i="4"/>
  <c r="V10" i="4"/>
  <c r="V8" i="4" s="1"/>
  <c r="W10" i="4"/>
  <c r="W8" i="4" s="1"/>
  <c r="O10" i="6" l="1"/>
  <c r="O8" i="6" s="1"/>
  <c r="T12" i="4" l="1"/>
  <c r="T11" i="4"/>
  <c r="U11" i="4"/>
  <c r="U12" i="4"/>
  <c r="U9" i="4" l="1"/>
  <c r="U10" i="4" s="1"/>
  <c r="U8" i="4" s="1"/>
  <c r="T9" i="4"/>
  <c r="T10" i="4" s="1"/>
  <c r="T8" i="4" s="1"/>
  <c r="N12" i="4" l="1"/>
  <c r="N11" i="4"/>
  <c r="N9" i="4" l="1"/>
  <c r="N10" i="4" s="1"/>
  <c r="H11" i="4"/>
  <c r="I11" i="4"/>
  <c r="J11" i="4"/>
  <c r="K11" i="4"/>
  <c r="L11" i="4"/>
  <c r="H12" i="4"/>
  <c r="I12" i="4"/>
  <c r="J12" i="4"/>
  <c r="K12" i="4"/>
  <c r="L12" i="4"/>
  <c r="N8" i="4" l="1"/>
  <c r="L9" i="4"/>
  <c r="J9" i="4"/>
  <c r="I9" i="4"/>
  <c r="H9" i="4"/>
  <c r="H10" i="4" s="1"/>
  <c r="K9" i="4"/>
  <c r="C12" i="4"/>
  <c r="I10" i="4" l="1"/>
  <c r="J10" i="4"/>
  <c r="J8" i="4" s="1"/>
  <c r="L10" i="4"/>
  <c r="L8" i="4" s="1"/>
  <c r="K10" i="4"/>
  <c r="A1" i="6" l="1"/>
  <c r="N12" i="6" l="1"/>
  <c r="L12" i="6"/>
  <c r="G12" i="6"/>
  <c r="N11" i="6"/>
  <c r="L11" i="6"/>
  <c r="G11" i="6"/>
  <c r="G9" i="6" l="1"/>
  <c r="N9" i="6"/>
  <c r="N10" i="6" s="1"/>
  <c r="L9" i="6"/>
  <c r="N8" i="6" l="1"/>
  <c r="G10" i="6"/>
  <c r="L10" i="6"/>
  <c r="L8" i="6" s="1"/>
  <c r="G8" i="6" l="1"/>
  <c r="C11" i="4"/>
  <c r="C9" i="4" s="1"/>
  <c r="C10" i="4" s="1"/>
  <c r="C8" i="4" s="1"/>
  <c r="D11" i="4"/>
  <c r="E11" i="4"/>
  <c r="F11" i="4"/>
  <c r="G11" i="4"/>
  <c r="M11" i="4"/>
  <c r="O11" i="4"/>
  <c r="P11" i="4"/>
  <c r="Q11" i="4"/>
  <c r="R11" i="4"/>
  <c r="S11" i="4"/>
  <c r="D12" i="4"/>
  <c r="E12" i="4"/>
  <c r="F12" i="4"/>
  <c r="G12" i="4"/>
  <c r="M12" i="4"/>
  <c r="O12" i="4"/>
  <c r="P12" i="4"/>
  <c r="Q12" i="4"/>
  <c r="R12" i="4"/>
  <c r="S12" i="4"/>
  <c r="B11" i="4"/>
  <c r="B12" i="4"/>
  <c r="P9" i="4" l="1"/>
  <c r="P10" i="4" s="1"/>
  <c r="P8" i="4" s="1"/>
  <c r="O9" i="4"/>
  <c r="O10" i="4" s="1"/>
  <c r="O8" i="4" s="1"/>
  <c r="Q9" i="4"/>
  <c r="Q10" i="4" s="1"/>
  <c r="Q8" i="4" s="1"/>
  <c r="D9" i="4"/>
  <c r="D10" i="4" s="1"/>
  <c r="D8" i="4" s="1"/>
  <c r="M9" i="4"/>
  <c r="M10" i="4" s="1"/>
  <c r="M8" i="4" s="1"/>
  <c r="B9" i="4"/>
  <c r="G9" i="4"/>
  <c r="S9" i="4"/>
  <c r="S10" i="4" s="1"/>
  <c r="S8" i="4" s="1"/>
  <c r="F9" i="4"/>
  <c r="R9" i="4"/>
  <c r="E9" i="4"/>
  <c r="R10" i="4" l="1"/>
  <c r="R8" i="4" s="1"/>
  <c r="F10" i="4"/>
  <c r="F8" i="4" s="1"/>
  <c r="G10" i="4"/>
  <c r="G8" i="4" s="1"/>
  <c r="B10" i="4"/>
  <c r="B8" i="4" s="1"/>
  <c r="E10" i="4"/>
  <c r="E8" i="4" s="1"/>
  <c r="K8" i="4" l="1"/>
  <c r="I8" i="4"/>
  <c r="H8" i="4"/>
</calcChain>
</file>

<file path=xl/sharedStrings.xml><?xml version="1.0" encoding="utf-8"?>
<sst xmlns="http://schemas.openxmlformats.org/spreadsheetml/2006/main" count="225" uniqueCount="53">
  <si>
    <t>Odvody</t>
  </si>
  <si>
    <t>NIV celkem</t>
  </si>
  <si>
    <t>Jihočeský</t>
  </si>
  <si>
    <t>Plzeňský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</si>
  <si>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</si>
  <si>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</si>
  <si>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</si>
  <si>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</si>
  <si>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</si>
  <si>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</si>
  <si>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</si>
  <si>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</si>
  <si>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</si>
  <si>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</si>
  <si>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</si>
  <si>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</si>
  <si>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</si>
  <si>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</si>
  <si>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Hl. m. Praha</t>
  </si>
  <si>
    <t>Středočeský</t>
  </si>
  <si>
    <t xml:space="preserve">Karlovarský </t>
  </si>
  <si>
    <t xml:space="preserve">Ústecký  </t>
  </si>
  <si>
    <t>Liberecký</t>
  </si>
  <si>
    <t>Pardubický</t>
  </si>
  <si>
    <t>Vysočina</t>
  </si>
  <si>
    <t>Jihomoravský</t>
  </si>
  <si>
    <t>Olomoucký</t>
  </si>
  <si>
    <t>Zlínský</t>
  </si>
  <si>
    <t>ONIV celkem</t>
  </si>
  <si>
    <t>Králové hradecký</t>
  </si>
  <si>
    <t>Moravsko slezský</t>
  </si>
  <si>
    <t>Np</t>
  </si>
  <si>
    <t>Pp</t>
  </si>
  <si>
    <t>No</t>
  </si>
  <si>
    <t>Po</t>
  </si>
  <si>
    <t>x</t>
  </si>
  <si>
    <t>Dětský domov DD - rodinná skupina (v Kč/rodinnou skupinu)</t>
  </si>
  <si>
    <t>MP bez odv.</t>
  </si>
  <si>
    <t>MPP bez odv.</t>
  </si>
  <si>
    <t>MPN bez odv.</t>
  </si>
  <si>
    <t>počet rodinných skupin</t>
  </si>
  <si>
    <t>Dětský domov se školou - rodinná skupina (v Kč/rodinnou skupinu)</t>
  </si>
  <si>
    <t>Porovnání krajských normativů mzdových prostředků a ostatních neinvestičních výdajů</t>
  </si>
  <si>
    <t>Příloha č. 7</t>
  </si>
  <si>
    <t>DĚTSKÉ DOMOVY</t>
  </si>
  <si>
    <t>5 a 6</t>
  </si>
  <si>
    <t>DĚTSKÉ DOMOVY SE ŠKOLOU</t>
  </si>
  <si>
    <t>Rodinné skupiny dětských domovů/dětských domovů se školou</t>
  </si>
  <si>
    <t>počet normativů
v daném kraji celkem</t>
  </si>
  <si>
    <t>Krajské normativy v roce 2022</t>
  </si>
  <si>
    <t>Č.j.: MSMT-12809/2022-1</t>
  </si>
  <si>
    <t>stanovených jednotlivými krajskými úřady pro krajské a obecní školství v roce 2022</t>
  </si>
  <si>
    <t>Normativ na rodinnou skupinu v dětském domově se 3 a více výchovnými skupinami (Np=počet skupin/úvazek pedagoga, No = počet skupin/ úvazek nepedagoga)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</si>
</sst>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8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3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1" fontId="11" fillId="0" borderId="6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  <color rgb="FF99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F0163-5DA6-434F-BB01-418504AE25C0}">
  <sheetPr>
    <tabColor theme="8" tint="-0.249977111117893"/>
  </sheetPr>
  <dimension ref="A2:A46"/>
  <sheetViews>
    <sheetView tabSelected="1" workbookViewId="0">
      <selection activeCell="E21" sqref="E21"/>
    </sheetView>
  </sheetViews>
  <sheetFormatPr defaultRowHeight="15" x14ac:dyDescent="0.25"/>
  <cols>
    <col min="1" max="1" width="83.85546875" style="31" customWidth="1"/>
  </cols>
  <sheetData>
    <row r="2" spans="1:1" x14ac:dyDescent="0.25">
      <c r="A2" s="28" t="s">
        <v>50</v>
      </c>
    </row>
    <row r="15" spans="1:1" ht="36" x14ac:dyDescent="0.25">
      <c r="A15" s="32" t="s">
        <v>44</v>
      </c>
    </row>
    <row r="16" spans="1:1" ht="36" x14ac:dyDescent="0.25">
      <c r="A16" s="32" t="s">
        <v>46</v>
      </c>
    </row>
    <row r="19" spans="1:1" ht="18.75" x14ac:dyDescent="0.3">
      <c r="A19" s="29" t="s">
        <v>47</v>
      </c>
    </row>
    <row r="21" spans="1:1" ht="18.75" x14ac:dyDescent="0.3">
      <c r="A21" s="29" t="s">
        <v>43</v>
      </c>
    </row>
    <row r="45" spans="1:1" x14ac:dyDescent="0.25">
      <c r="A45" s="30" t="s">
        <v>42</v>
      </c>
    </row>
    <row r="46" spans="1:1" x14ac:dyDescent="0.25">
      <c r="A46" s="31" t="s">
        <v>51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E83E-3137-43E1-9025-BD647D6AF375}">
  <sheetPr>
    <tabColor theme="8" tint="0.59999389629810485"/>
    <pageSetUpPr fitToPage="1"/>
  </sheetPr>
  <dimension ref="A1:AY19"/>
  <sheetViews>
    <sheetView workbookViewId="0">
      <pane ySplit="6" topLeftCell="A7" activePane="bottomLeft" state="frozen"/>
      <selection activeCell="C27" sqref="C27"/>
      <selection pane="bottomLeft" activeCell="C27" sqref="C27"/>
    </sheetView>
  </sheetViews>
  <sheetFormatPr defaultRowHeight="15" x14ac:dyDescent="0.25"/>
  <cols>
    <col min="1" max="1" width="13" style="17" customWidth="1"/>
    <col min="2" max="2" width="9.42578125" style="17" customWidth="1"/>
    <col min="3" max="3" width="9.28515625" style="17" customWidth="1"/>
    <col min="4" max="4" width="9.42578125" style="17" customWidth="1"/>
    <col min="5" max="5" width="9" style="17" customWidth="1"/>
    <col min="6" max="6" width="8.7109375" style="17" customWidth="1"/>
    <col min="7" max="7" width="8.5703125" style="17" customWidth="1"/>
    <col min="8" max="14" width="9.28515625" style="17" customWidth="1"/>
    <col min="15" max="15" width="8.7109375" style="17" customWidth="1"/>
    <col min="16" max="16" width="8.85546875" style="17" customWidth="1"/>
    <col min="17" max="17" width="8.7109375" style="17" customWidth="1"/>
    <col min="18" max="25" width="8.5703125" style="17" customWidth="1"/>
    <col min="26" max="27" width="9.140625" style="17"/>
    <col min="28" max="42" width="6" style="17" customWidth="1"/>
    <col min="43" max="16384" width="9.140625" style="17"/>
  </cols>
  <sheetData>
    <row r="1" spans="1:51" ht="18.75" x14ac:dyDescent="0.25">
      <c r="A1" s="41" t="s">
        <v>49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51" ht="18.75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51" ht="15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51" ht="15.75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</row>
    <row r="5" spans="1:51" s="15" customFormat="1" ht="15" customHeight="1" x14ac:dyDescent="0.25">
      <c r="A5" s="42"/>
      <c r="B5" s="1" t="s">
        <v>4</v>
      </c>
      <c r="C5" s="2" t="s">
        <v>5</v>
      </c>
      <c r="D5" s="3" t="s">
        <v>6</v>
      </c>
      <c r="E5" s="4" t="s">
        <v>7</v>
      </c>
      <c r="F5" s="5" t="s">
        <v>8</v>
      </c>
      <c r="G5" s="6" t="s">
        <v>9</v>
      </c>
      <c r="H5" s="7" t="s">
        <v>10</v>
      </c>
      <c r="I5" s="7" t="s">
        <v>10</v>
      </c>
      <c r="J5" s="7" t="s">
        <v>10</v>
      </c>
      <c r="K5" s="7" t="s">
        <v>10</v>
      </c>
      <c r="L5" s="7" t="s">
        <v>10</v>
      </c>
      <c r="M5" s="8" t="s">
        <v>11</v>
      </c>
      <c r="N5" s="8" t="s">
        <v>11</v>
      </c>
      <c r="O5" s="9" t="s">
        <v>12</v>
      </c>
      <c r="P5" s="10" t="s">
        <v>13</v>
      </c>
      <c r="Q5" s="11" t="s">
        <v>14</v>
      </c>
      <c r="R5" s="12" t="s">
        <v>15</v>
      </c>
      <c r="S5" s="13" t="s">
        <v>16</v>
      </c>
      <c r="T5" s="13" t="s">
        <v>16</v>
      </c>
      <c r="U5" s="13" t="s">
        <v>16</v>
      </c>
      <c r="V5" s="14" t="s">
        <v>17</v>
      </c>
      <c r="W5" s="14" t="s">
        <v>17</v>
      </c>
      <c r="X5" s="14" t="s">
        <v>17</v>
      </c>
      <c r="Y5" s="14" t="s">
        <v>17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</row>
    <row r="6" spans="1:51" s="15" customFormat="1" ht="71.25" customHeight="1" x14ac:dyDescent="0.25">
      <c r="A6" s="42"/>
      <c r="B6" s="39" t="s">
        <v>18</v>
      </c>
      <c r="C6" s="39" t="s">
        <v>19</v>
      </c>
      <c r="D6" s="39" t="s">
        <v>2</v>
      </c>
      <c r="E6" s="39" t="s">
        <v>3</v>
      </c>
      <c r="F6" s="39" t="s">
        <v>20</v>
      </c>
      <c r="G6" s="39" t="s">
        <v>21</v>
      </c>
      <c r="H6" s="39" t="s">
        <v>22</v>
      </c>
      <c r="I6" s="39" t="s">
        <v>22</v>
      </c>
      <c r="J6" s="39" t="s">
        <v>22</v>
      </c>
      <c r="K6" s="39" t="s">
        <v>22</v>
      </c>
      <c r="L6" s="39" t="s">
        <v>22</v>
      </c>
      <c r="M6" s="39" t="s">
        <v>29</v>
      </c>
      <c r="N6" s="39" t="s">
        <v>29</v>
      </c>
      <c r="O6" s="39" t="s">
        <v>23</v>
      </c>
      <c r="P6" s="39" t="s">
        <v>24</v>
      </c>
      <c r="Q6" s="39" t="s">
        <v>25</v>
      </c>
      <c r="R6" s="39" t="s">
        <v>26</v>
      </c>
      <c r="S6" s="39" t="s">
        <v>27</v>
      </c>
      <c r="T6" s="39" t="s">
        <v>27</v>
      </c>
      <c r="U6" s="39" t="s">
        <v>27</v>
      </c>
      <c r="V6" s="39" t="s">
        <v>30</v>
      </c>
      <c r="W6" s="39" t="s">
        <v>30</v>
      </c>
      <c r="X6" s="39" t="s">
        <v>30</v>
      </c>
      <c r="Y6" s="39" t="s">
        <v>30</v>
      </c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51" s="15" customFormat="1" ht="47.25" customHeight="1" x14ac:dyDescent="0.25">
      <c r="A7" s="27" t="s">
        <v>40</v>
      </c>
      <c r="B7" s="33"/>
      <c r="C7" s="33"/>
      <c r="D7" s="33"/>
      <c r="E7" s="33"/>
      <c r="F7" s="33"/>
      <c r="G7" s="33"/>
      <c r="H7" s="7">
        <v>2</v>
      </c>
      <c r="I7" s="7">
        <v>3</v>
      </c>
      <c r="J7" s="7">
        <v>4</v>
      </c>
      <c r="K7" s="7">
        <v>5</v>
      </c>
      <c r="L7" s="7">
        <v>6</v>
      </c>
      <c r="M7" s="51">
        <v>2</v>
      </c>
      <c r="N7" s="51">
        <v>3</v>
      </c>
      <c r="O7" s="33"/>
      <c r="P7" s="33"/>
      <c r="Q7" s="33"/>
      <c r="R7" s="33"/>
      <c r="S7" s="13">
        <v>2</v>
      </c>
      <c r="T7" s="13">
        <v>3</v>
      </c>
      <c r="U7" s="13">
        <v>4</v>
      </c>
      <c r="V7" s="14">
        <v>3</v>
      </c>
      <c r="W7" s="14">
        <v>4</v>
      </c>
      <c r="X7" s="14" t="s">
        <v>45</v>
      </c>
      <c r="Y7" s="14">
        <v>7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</row>
    <row r="8" spans="1:51" x14ac:dyDescent="0.25">
      <c r="A8" s="16" t="s">
        <v>1</v>
      </c>
      <c r="B8" s="18">
        <f>SUM(B9:B10)+B13</f>
        <v>3777028</v>
      </c>
      <c r="C8" s="18">
        <f t="shared" ref="C8" si="0">IFERROR((SUM(C9:C10)+C13),"x")</f>
        <v>3860088.5920000002</v>
      </c>
      <c r="D8" s="18">
        <f t="shared" ref="D8" si="1">IFERROR((SUM(D9:D10)+D13),"x")</f>
        <v>3342416.52</v>
      </c>
      <c r="E8" s="18">
        <f t="shared" ref="E8" si="2">IFERROR((SUM(E9:E10)+E13),"x")</f>
        <v>3657321.3249597424</v>
      </c>
      <c r="F8" s="18">
        <f t="shared" ref="F8" si="3">IFERROR((SUM(F9:F10)+F13),"x")</f>
        <v>3451427.8515501339</v>
      </c>
      <c r="G8" s="18">
        <f t="shared" ref="G8" si="4">IFERROR((SUM(G9:G10)+G13),"x")</f>
        <v>3264045.790513834</v>
      </c>
      <c r="H8" s="18">
        <f t="shared" ref="H8:K8" si="5">IFERROR((SUM(H9:H10)+H13),"x")</f>
        <v>3953378.8439024393</v>
      </c>
      <c r="I8" s="18">
        <f t="shared" si="5"/>
        <v>3916082.8170731715</v>
      </c>
      <c r="J8" s="18">
        <f t="shared" si="5"/>
        <v>3841490.7634146344</v>
      </c>
      <c r="K8" s="18">
        <f t="shared" si="5"/>
        <v>3617714.602439024</v>
      </c>
      <c r="L8" s="18">
        <f>IFERROR((SUM(L9:L10)+L13),"x")</f>
        <v>3487178.5085365861</v>
      </c>
      <c r="M8" s="52">
        <f t="shared" ref="M8" si="6">IFERROR((SUM(M9:M10)+M13),"x")</f>
        <v>4225048.7209857004</v>
      </c>
      <c r="N8" s="52">
        <f>IFERROR((SUM(N9:N10)+N13),"x")</f>
        <v>3524273.8681318681</v>
      </c>
      <c r="O8" s="18">
        <f t="shared" ref="O8" si="7">IFERROR((SUM(O9:O10)+O13),"x")</f>
        <v>3341869.0845755772</v>
      </c>
      <c r="P8" s="18">
        <f t="shared" ref="P8" si="8">IFERROR((SUM(P9:P10)+P13),"x")</f>
        <v>3632597.1723108077</v>
      </c>
      <c r="Q8" s="18">
        <f t="shared" ref="Q8" si="9">IFERROR((SUM(Q9:Q10)+Q13),"x")</f>
        <v>3460007.566800321</v>
      </c>
      <c r="R8" s="18">
        <f t="shared" ref="R8" si="10">IFERROR((SUM(R9:R10)+R13),"x")</f>
        <v>3595825.2270676694</v>
      </c>
      <c r="S8" s="18">
        <f t="shared" ref="S8:T8" si="11">IFERROR((SUM(S9:S10)+S13),"x")</f>
        <v>4096583.725601668</v>
      </c>
      <c r="T8" s="18">
        <f t="shared" si="11"/>
        <v>3537293.0891077085</v>
      </c>
      <c r="U8" s="18">
        <f t="shared" ref="U8" si="12">IFERROR((SUM(U9:U10)+U13),"x")</f>
        <v>3053404.5897054928</v>
      </c>
      <c r="V8" s="18">
        <f t="shared" ref="V8:Y8" si="13">IFERROR((SUM(V9:V10)+V13),"x")</f>
        <v>3833181.4160473882</v>
      </c>
      <c r="W8" s="18">
        <f t="shared" si="13"/>
        <v>3436972.670666826</v>
      </c>
      <c r="X8" s="18">
        <f t="shared" si="13"/>
        <v>3135892.6718410212</v>
      </c>
      <c r="Y8" s="18">
        <f t="shared" si="13"/>
        <v>3406786.5854611639</v>
      </c>
      <c r="Z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</row>
    <row r="9" spans="1:51" x14ac:dyDescent="0.25">
      <c r="A9" s="16" t="s">
        <v>37</v>
      </c>
      <c r="B9" s="18">
        <f>B11+B12</f>
        <v>2766000</v>
      </c>
      <c r="C9" s="18">
        <f>C11+C12</f>
        <v>2820024</v>
      </c>
      <c r="D9" s="18">
        <f t="shared" ref="D9:S9" si="14">D11+D12</f>
        <v>2445940</v>
      </c>
      <c r="E9" s="18">
        <f t="shared" si="14"/>
        <v>2677828.6634460548</v>
      </c>
      <c r="F9" s="18">
        <f t="shared" si="14"/>
        <v>2526213.4400221901</v>
      </c>
      <c r="G9" s="18">
        <f t="shared" si="14"/>
        <v>2373745.0592885376</v>
      </c>
      <c r="H9" s="18">
        <f t="shared" ref="H9:L9" si="15">H11+H12</f>
        <v>2894918.2944789687</v>
      </c>
      <c r="I9" s="18">
        <f t="shared" si="15"/>
        <v>2867607.744531054</v>
      </c>
      <c r="J9" s="18">
        <f t="shared" si="15"/>
        <v>2812986.6446352242</v>
      </c>
      <c r="K9" s="18">
        <f t="shared" si="15"/>
        <v>2649123.3449477348</v>
      </c>
      <c r="L9" s="18">
        <f t="shared" si="15"/>
        <v>2553536.420130034</v>
      </c>
      <c r="M9" s="52">
        <f t="shared" si="14"/>
        <v>3095890.0743635497</v>
      </c>
      <c r="N9" s="52">
        <f t="shared" ref="N9" si="16">N11+N12</f>
        <v>2579855.5729984301</v>
      </c>
      <c r="O9" s="18">
        <f t="shared" si="14"/>
        <v>2445536.8811307638</v>
      </c>
      <c r="P9" s="18">
        <f t="shared" si="14"/>
        <v>2661391.1430860148</v>
      </c>
      <c r="Q9" s="18">
        <f t="shared" si="14"/>
        <v>2538729.4306335207</v>
      </c>
      <c r="R9" s="18">
        <f t="shared" si="14"/>
        <v>2632492.8034371645</v>
      </c>
      <c r="S9" s="18">
        <f t="shared" si="14"/>
        <v>3001902.5961720678</v>
      </c>
      <c r="T9" s="18">
        <f t="shared" ref="T9:U9" si="17">T11+T12</f>
        <v>2590053.821139697</v>
      </c>
      <c r="U9" s="18">
        <f t="shared" si="17"/>
        <v>2233729.447500363</v>
      </c>
      <c r="V9" s="18">
        <f t="shared" ref="V9:Y9" si="18">V11+V12</f>
        <v>2815560.689283791</v>
      </c>
      <c r="W9" s="18">
        <f t="shared" si="18"/>
        <v>2523801.6720668823</v>
      </c>
      <c r="X9" s="18">
        <f t="shared" si="18"/>
        <v>2302093.2782334471</v>
      </c>
      <c r="Y9" s="18">
        <f t="shared" si="18"/>
        <v>2501573.3324456289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</row>
    <row r="10" spans="1:51" x14ac:dyDescent="0.25">
      <c r="A10" s="16" t="s">
        <v>0</v>
      </c>
      <c r="B10" s="18">
        <f t="shared" ref="B10" si="19">IFERROR(0.358*B9,"x")</f>
        <v>990228</v>
      </c>
      <c r="C10" s="18">
        <f t="shared" ref="C10" si="20">IFERROR(0.358*C9,"x")</f>
        <v>1009568.5919999999</v>
      </c>
      <c r="D10" s="18">
        <f t="shared" ref="D10" si="21">IFERROR(0.358*D9,"x")</f>
        <v>875646.52</v>
      </c>
      <c r="E10" s="18">
        <f t="shared" ref="E10" si="22">IFERROR(0.358*E9,"x")</f>
        <v>958662.66151368758</v>
      </c>
      <c r="F10" s="18">
        <f t="shared" ref="F10" si="23">IFERROR(0.358*F9,"x")</f>
        <v>904384.41152794403</v>
      </c>
      <c r="G10" s="18">
        <f t="shared" ref="G10" si="24">IFERROR(0.358*G9,"x")</f>
        <v>849800.73122529639</v>
      </c>
      <c r="H10" s="18">
        <f t="shared" ref="H10:L10" si="25">IFERROR(0.358*H9,"x")</f>
        <v>1036380.7494234708</v>
      </c>
      <c r="I10" s="18">
        <f t="shared" si="25"/>
        <v>1026603.5725421173</v>
      </c>
      <c r="J10" s="18">
        <f t="shared" si="25"/>
        <v>1007049.2187794102</v>
      </c>
      <c r="K10" s="18">
        <f t="shared" si="25"/>
        <v>948386.15749128908</v>
      </c>
      <c r="L10" s="18">
        <f t="shared" si="25"/>
        <v>914166.03840655216</v>
      </c>
      <c r="M10" s="52">
        <f t="shared" ref="M10" si="26">IFERROR(0.358*M9,"x")</f>
        <v>1108328.6466221507</v>
      </c>
      <c r="N10" s="52">
        <f>IFERROR(0.358*N9,"x")</f>
        <v>923588.29513343796</v>
      </c>
      <c r="O10" s="18">
        <f t="shared" ref="O10" si="27">IFERROR(0.358*O9,"x")</f>
        <v>875502.20344481338</v>
      </c>
      <c r="P10" s="18">
        <f t="shared" ref="P10" si="28">IFERROR(0.358*P9,"x")</f>
        <v>952778.02922479319</v>
      </c>
      <c r="Q10" s="18">
        <f t="shared" ref="Q10" si="29">IFERROR(0.358*Q9,"x")</f>
        <v>908865.1361668004</v>
      </c>
      <c r="R10" s="18">
        <f t="shared" ref="R10" si="30">IFERROR(0.358*R9,"x")</f>
        <v>942432.42363050487</v>
      </c>
      <c r="S10" s="18">
        <f t="shared" ref="S10:T10" si="31">IFERROR(0.358*S9,"x")</f>
        <v>1074681.1294296002</v>
      </c>
      <c r="T10" s="18">
        <f t="shared" si="31"/>
        <v>927239.26796801144</v>
      </c>
      <c r="U10" s="18">
        <f t="shared" ref="U10" si="32">IFERROR(0.358*U9,"x")</f>
        <v>799675.14220512996</v>
      </c>
      <c r="V10" s="18">
        <f t="shared" ref="V10:Y10" si="33">IFERROR(0.358*V9,"x")</f>
        <v>1007970.7267635971</v>
      </c>
      <c r="W10" s="18">
        <f t="shared" si="33"/>
        <v>903520.99859994382</v>
      </c>
      <c r="X10" s="18">
        <f t="shared" si="33"/>
        <v>824149.39360757405</v>
      </c>
      <c r="Y10" s="18">
        <f t="shared" si="33"/>
        <v>895563.25301553507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1" x14ac:dyDescent="0.25">
      <c r="A11" s="16" t="s">
        <v>38</v>
      </c>
      <c r="B11" s="18">
        <f>IFERROR(12*B15/B14,"x")</f>
        <v>2476000</v>
      </c>
      <c r="C11" s="18">
        <f t="shared" ref="C11:S11" si="34">IFERROR(12*C15/C14,"x")</f>
        <v>2120016</v>
      </c>
      <c r="D11" s="18">
        <f t="shared" si="34"/>
        <v>1940000</v>
      </c>
      <c r="E11" s="18">
        <f t="shared" si="34"/>
        <v>2152643.4782608696</v>
      </c>
      <c r="F11" s="18">
        <f t="shared" si="34"/>
        <v>1583090.3790087462</v>
      </c>
      <c r="G11" s="18">
        <f t="shared" si="34"/>
        <v>1422608.6956521741</v>
      </c>
      <c r="H11" s="18">
        <f t="shared" ref="H11:L11" si="35">IFERROR(12*H15/H14,"x")</f>
        <v>2060905.9233449481</v>
      </c>
      <c r="I11" s="18">
        <f t="shared" si="35"/>
        <v>2041463.4146341465</v>
      </c>
      <c r="J11" s="18">
        <f t="shared" si="35"/>
        <v>2002578.3972125438</v>
      </c>
      <c r="K11" s="18">
        <f t="shared" si="35"/>
        <v>1885923.3449477351</v>
      </c>
      <c r="L11" s="18">
        <f t="shared" si="35"/>
        <v>1817874.5644599306</v>
      </c>
      <c r="M11" s="52">
        <f t="shared" si="34"/>
        <v>2319402.1978021977</v>
      </c>
      <c r="N11" s="52">
        <f t="shared" ref="N11" si="36">IFERROR(12*N15/N14,"x")</f>
        <v>1932835.1648351648</v>
      </c>
      <c r="O11" s="18">
        <f t="shared" si="34"/>
        <v>2094396.694214876</v>
      </c>
      <c r="P11" s="18">
        <f t="shared" si="34"/>
        <v>1954216.5137614678</v>
      </c>
      <c r="Q11" s="18">
        <f t="shared" si="34"/>
        <v>1757668.9655172415</v>
      </c>
      <c r="R11" s="18">
        <f t="shared" si="34"/>
        <v>2370661.224489796</v>
      </c>
      <c r="S11" s="18">
        <f t="shared" si="34"/>
        <v>1935235.9295054011</v>
      </c>
      <c r="T11" s="18">
        <f t="shared" ref="T11:U11" si="37">IFERROR(12*T15/T14,"x")</f>
        <v>1669758.0117724002</v>
      </c>
      <c r="U11" s="18">
        <f t="shared" si="37"/>
        <v>1439966.1590524535</v>
      </c>
      <c r="V11" s="18">
        <f t="shared" ref="V11:Y11" si="38">IFERROR(12*V15/V14,"x")</f>
        <v>1822294.0226171245</v>
      </c>
      <c r="W11" s="18">
        <f t="shared" si="38"/>
        <v>1759750.3900156005</v>
      </c>
      <c r="X11" s="18">
        <f t="shared" si="38"/>
        <v>1538041.9961821651</v>
      </c>
      <c r="Y11" s="18">
        <f t="shared" si="38"/>
        <v>1691661.6676664669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1" x14ac:dyDescent="0.25">
      <c r="A12" s="16" t="s">
        <v>39</v>
      </c>
      <c r="B12" s="18">
        <f>IFERROR(12*B17/B16,"x")</f>
        <v>290000</v>
      </c>
      <c r="C12" s="18">
        <f>IFERROR(12*C17/C16,"x")</f>
        <v>700008</v>
      </c>
      <c r="D12" s="18">
        <f t="shared" ref="D12:S12" si="39">IFERROR(12*D17/D16,"x")</f>
        <v>505940</v>
      </c>
      <c r="E12" s="18">
        <f t="shared" si="39"/>
        <v>525185.18518518517</v>
      </c>
      <c r="F12" s="18">
        <f t="shared" si="39"/>
        <v>943123.06101344374</v>
      </c>
      <c r="G12" s="18">
        <f t="shared" si="39"/>
        <v>951136.36363636365</v>
      </c>
      <c r="H12" s="18">
        <f t="shared" ref="H12:L12" si="40">IFERROR(12*H17/H16,"x")</f>
        <v>834012.37113402074</v>
      </c>
      <c r="I12" s="18">
        <f t="shared" si="40"/>
        <v>826144.32989690732</v>
      </c>
      <c r="J12" s="18">
        <f t="shared" si="40"/>
        <v>810408.24742268049</v>
      </c>
      <c r="K12" s="18">
        <f t="shared" si="40"/>
        <v>763200</v>
      </c>
      <c r="L12" s="18">
        <f t="shared" si="40"/>
        <v>735661.8556701031</v>
      </c>
      <c r="M12" s="52">
        <f t="shared" si="39"/>
        <v>776487.87656135194</v>
      </c>
      <c r="N12" s="52">
        <f>IFERROR(12*N17/N16,"x")</f>
        <v>647020.40816326533</v>
      </c>
      <c r="O12" s="18">
        <f t="shared" si="39"/>
        <v>351140.18691588781</v>
      </c>
      <c r="P12" s="18">
        <f t="shared" si="39"/>
        <v>707174.62932454702</v>
      </c>
      <c r="Q12" s="18">
        <f t="shared" si="39"/>
        <v>781060.46511627908</v>
      </c>
      <c r="R12" s="18">
        <f t="shared" si="39"/>
        <v>261831.57894736846</v>
      </c>
      <c r="S12" s="18">
        <f t="shared" si="39"/>
        <v>1066666.6666666667</v>
      </c>
      <c r="T12" s="18">
        <f>IFERROR(12*T17/T16,"x")</f>
        <v>920295.80936729664</v>
      </c>
      <c r="U12" s="18">
        <f t="shared" ref="U12" si="41">IFERROR(12*U17/U16,"x")</f>
        <v>793763.28844790929</v>
      </c>
      <c r="V12" s="18">
        <f>IFERROR(12*V17/V16,"x")</f>
        <v>993266.66666666674</v>
      </c>
      <c r="W12" s="18">
        <f t="shared" ref="W12:Y12" si="42">IFERROR(12*W17/W16,"x")</f>
        <v>764051.282051282</v>
      </c>
      <c r="X12" s="18">
        <f t="shared" si="42"/>
        <v>764051.282051282</v>
      </c>
      <c r="Y12" s="18">
        <f t="shared" si="42"/>
        <v>809911.66477916192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51" x14ac:dyDescent="0.25">
      <c r="A13" s="16" t="s">
        <v>28</v>
      </c>
      <c r="B13" s="18">
        <v>20800</v>
      </c>
      <c r="C13" s="18">
        <v>30496</v>
      </c>
      <c r="D13" s="18">
        <v>20830</v>
      </c>
      <c r="E13" s="18">
        <v>20830</v>
      </c>
      <c r="F13" s="18">
        <v>20830</v>
      </c>
      <c r="G13" s="18">
        <v>40500</v>
      </c>
      <c r="H13" s="18">
        <f>20830*1.06</f>
        <v>22079.800000000003</v>
      </c>
      <c r="I13" s="18">
        <f>20830*1.05</f>
        <v>21871.5</v>
      </c>
      <c r="J13" s="18">
        <f>20830*1.03</f>
        <v>21454.9</v>
      </c>
      <c r="K13" s="18">
        <f>20830*0.97</f>
        <v>20205.099999999999</v>
      </c>
      <c r="L13" s="18">
        <f>20830*0.935</f>
        <v>19476.050000000003</v>
      </c>
      <c r="M13" s="52">
        <v>20830</v>
      </c>
      <c r="N13" s="52">
        <v>20830</v>
      </c>
      <c r="O13" s="18">
        <v>20830</v>
      </c>
      <c r="P13" s="18">
        <v>18428</v>
      </c>
      <c r="Q13" s="18">
        <v>12413</v>
      </c>
      <c r="R13" s="18">
        <v>20900</v>
      </c>
      <c r="S13" s="18">
        <v>20000</v>
      </c>
      <c r="T13" s="18">
        <v>20000</v>
      </c>
      <c r="U13" s="18">
        <v>20000</v>
      </c>
      <c r="V13" s="18">
        <v>9650</v>
      </c>
      <c r="W13" s="18">
        <v>9650</v>
      </c>
      <c r="X13" s="18">
        <v>9650</v>
      </c>
      <c r="Y13" s="18">
        <v>9650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51" s="19" customFormat="1" ht="15" customHeight="1" x14ac:dyDescent="0.25">
      <c r="A14" s="16" t="s">
        <v>31</v>
      </c>
      <c r="B14" s="26">
        <v>0.24</v>
      </c>
      <c r="C14" s="26">
        <v>0.25</v>
      </c>
      <c r="D14" s="26">
        <v>0.3</v>
      </c>
      <c r="E14" s="26">
        <v>0.23</v>
      </c>
      <c r="F14" s="26">
        <v>0.34300000000000003</v>
      </c>
      <c r="G14" s="26">
        <v>0.34499999999999997</v>
      </c>
      <c r="H14" s="26">
        <f>0.287/1.06</f>
        <v>0.27075471698113202</v>
      </c>
      <c r="I14" s="26">
        <f>0.287/1.05</f>
        <v>0.27333333333333332</v>
      </c>
      <c r="J14" s="26">
        <f>0.287/1.03</f>
        <v>0.27864077669902909</v>
      </c>
      <c r="K14" s="26">
        <f>0.287/0.97</f>
        <v>0.29587628865979382</v>
      </c>
      <c r="L14" s="26">
        <f>0.287/0.935</f>
        <v>0.30695187165775395</v>
      </c>
      <c r="M14" s="53">
        <v>0.22750000000000001</v>
      </c>
      <c r="N14" s="53">
        <v>0.27300000000000002</v>
      </c>
      <c r="O14" s="26">
        <v>0.24199999999999999</v>
      </c>
      <c r="P14" s="26">
        <v>0.27250000000000002</v>
      </c>
      <c r="Q14" s="26">
        <v>0.28999999999999998</v>
      </c>
      <c r="R14" s="26">
        <v>0.245</v>
      </c>
      <c r="S14" s="26">
        <v>0.26384999999999997</v>
      </c>
      <c r="T14" s="26">
        <v>0.30580000000000002</v>
      </c>
      <c r="U14" s="26">
        <v>0.35460000000000003</v>
      </c>
      <c r="V14" s="26">
        <f>IFERROR((ROUND(X14/1.185,4)),"x")</f>
        <v>0.3095</v>
      </c>
      <c r="W14" s="26">
        <f>IFERROR((ROUND(X14/1.144,4)),"x")</f>
        <v>0.32050000000000001</v>
      </c>
      <c r="X14" s="26">
        <v>0.36670000000000003</v>
      </c>
      <c r="Y14" s="26">
        <f>IFERROR((ROUND(X14/1.1,4)),"x")</f>
        <v>0.33339999999999997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51" x14ac:dyDescent="0.25">
      <c r="A15" s="16" t="s">
        <v>32</v>
      </c>
      <c r="B15" s="18">
        <v>49520</v>
      </c>
      <c r="C15" s="18">
        <v>44167</v>
      </c>
      <c r="D15" s="18">
        <v>48500</v>
      </c>
      <c r="E15" s="18">
        <v>41259</v>
      </c>
      <c r="F15" s="18">
        <v>45250</v>
      </c>
      <c r="G15" s="18">
        <v>40900</v>
      </c>
      <c r="H15" s="18">
        <v>46500</v>
      </c>
      <c r="I15" s="18">
        <v>46500</v>
      </c>
      <c r="J15" s="18">
        <v>46500</v>
      </c>
      <c r="K15" s="18">
        <v>46500</v>
      </c>
      <c r="L15" s="18">
        <v>46500</v>
      </c>
      <c r="M15" s="52">
        <v>43972</v>
      </c>
      <c r="N15" s="52">
        <v>43972</v>
      </c>
      <c r="O15" s="18">
        <v>42237</v>
      </c>
      <c r="P15" s="18">
        <v>44377</v>
      </c>
      <c r="Q15" s="18">
        <v>42477</v>
      </c>
      <c r="R15" s="18">
        <v>48401</v>
      </c>
      <c r="S15" s="18">
        <v>42551</v>
      </c>
      <c r="T15" s="18">
        <v>42551</v>
      </c>
      <c r="U15" s="18">
        <v>42551</v>
      </c>
      <c r="V15" s="18">
        <v>47000</v>
      </c>
      <c r="W15" s="18">
        <v>47000</v>
      </c>
      <c r="X15" s="18">
        <v>47000</v>
      </c>
      <c r="Y15" s="18">
        <v>47000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51" x14ac:dyDescent="0.25">
      <c r="A16" s="16" t="s">
        <v>33</v>
      </c>
      <c r="B16" s="26">
        <v>1.2</v>
      </c>
      <c r="C16" s="26">
        <v>0.5</v>
      </c>
      <c r="D16" s="26">
        <v>0.6</v>
      </c>
      <c r="E16" s="26">
        <v>0.81</v>
      </c>
      <c r="F16" s="26">
        <v>0.38679999999999998</v>
      </c>
      <c r="G16" s="26">
        <v>0.35199999999999998</v>
      </c>
      <c r="H16" s="26">
        <f>0.485/1.06</f>
        <v>0.45754716981132071</v>
      </c>
      <c r="I16" s="26">
        <f>0.485/1.05</f>
        <v>0.46190476190476187</v>
      </c>
      <c r="J16" s="26">
        <f>0.485/1.03</f>
        <v>0.47087378640776695</v>
      </c>
      <c r="K16" s="26">
        <f>0.485/0.97</f>
        <v>0.5</v>
      </c>
      <c r="L16" s="26">
        <f>0.485/0.935</f>
        <v>0.51871657754010692</v>
      </c>
      <c r="M16" s="53">
        <v>0.4083</v>
      </c>
      <c r="N16" s="53">
        <v>0.49</v>
      </c>
      <c r="O16" s="26">
        <v>1.07</v>
      </c>
      <c r="P16" s="26">
        <v>0.48559999999999998</v>
      </c>
      <c r="Q16" s="26">
        <v>0.43</v>
      </c>
      <c r="R16" s="26">
        <v>1.1399999999999999</v>
      </c>
      <c r="S16" s="26">
        <v>0.315</v>
      </c>
      <c r="T16" s="26">
        <v>0.36509999999999998</v>
      </c>
      <c r="U16" s="26">
        <v>0.42330000000000001</v>
      </c>
      <c r="V16" s="26">
        <f>IFERROR((ROUND(X16/1.3,4)),"x")</f>
        <v>0.36</v>
      </c>
      <c r="W16" s="26">
        <f>IFERROR((ROUND(X16,4)),"x")</f>
        <v>0.46800000000000003</v>
      </c>
      <c r="X16" s="26">
        <v>0.46800000000000003</v>
      </c>
      <c r="Y16" s="26">
        <f>IFERROR((ROUND(X16/1.06,4)),"x")</f>
        <v>0.4415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1" x14ac:dyDescent="0.25">
      <c r="A17" s="16" t="s">
        <v>34</v>
      </c>
      <c r="B17" s="18">
        <v>29000</v>
      </c>
      <c r="C17" s="18">
        <v>29167</v>
      </c>
      <c r="D17" s="18">
        <v>25297</v>
      </c>
      <c r="E17" s="18">
        <v>35450</v>
      </c>
      <c r="F17" s="18">
        <v>30400</v>
      </c>
      <c r="G17" s="18">
        <v>27900</v>
      </c>
      <c r="H17" s="18">
        <v>31800</v>
      </c>
      <c r="I17" s="18">
        <v>31800</v>
      </c>
      <c r="J17" s="18">
        <v>31800</v>
      </c>
      <c r="K17" s="18">
        <v>31800</v>
      </c>
      <c r="L17" s="18">
        <v>31800</v>
      </c>
      <c r="M17" s="52">
        <v>26420</v>
      </c>
      <c r="N17" s="52">
        <v>26420</v>
      </c>
      <c r="O17" s="18">
        <v>31310</v>
      </c>
      <c r="P17" s="18">
        <v>28617</v>
      </c>
      <c r="Q17" s="18">
        <v>27988</v>
      </c>
      <c r="R17" s="18">
        <v>24874</v>
      </c>
      <c r="S17" s="18">
        <v>28000</v>
      </c>
      <c r="T17" s="18">
        <v>28000</v>
      </c>
      <c r="U17" s="18">
        <v>28000</v>
      </c>
      <c r="V17" s="18">
        <v>29798</v>
      </c>
      <c r="W17" s="18">
        <v>29798</v>
      </c>
      <c r="X17" s="18">
        <v>29798</v>
      </c>
      <c r="Y17" s="18">
        <v>29798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1" ht="33.75" x14ac:dyDescent="0.25">
      <c r="A18" s="36" t="s">
        <v>48</v>
      </c>
      <c r="B18" s="37">
        <v>1</v>
      </c>
      <c r="C18" s="37">
        <v>1</v>
      </c>
      <c r="D18" s="37">
        <v>1</v>
      </c>
      <c r="E18" s="37">
        <v>1</v>
      </c>
      <c r="F18" s="37">
        <v>1</v>
      </c>
      <c r="G18" s="37">
        <v>1</v>
      </c>
      <c r="H18" s="43">
        <v>5</v>
      </c>
      <c r="I18" s="44"/>
      <c r="J18" s="44"/>
      <c r="K18" s="44"/>
      <c r="L18" s="45"/>
      <c r="M18" s="49">
        <v>2</v>
      </c>
      <c r="N18" s="50"/>
      <c r="O18" s="37">
        <v>1</v>
      </c>
      <c r="P18" s="37">
        <v>1</v>
      </c>
      <c r="Q18" s="37">
        <v>1</v>
      </c>
      <c r="R18" s="37">
        <v>1</v>
      </c>
      <c r="S18" s="46">
        <v>3</v>
      </c>
      <c r="T18" s="47"/>
      <c r="U18" s="47"/>
      <c r="V18" s="48">
        <v>4</v>
      </c>
      <c r="W18" s="48"/>
      <c r="X18" s="48"/>
      <c r="Y18" s="48"/>
    </row>
    <row r="19" spans="1:51" ht="126" x14ac:dyDescent="0.15">
      <c r="N19" s="40" t="s">
        <v>52</v>
      </c>
    </row>
  </sheetData>
  <mergeCells count="7">
    <mergeCell ref="A1:Y1"/>
    <mergeCell ref="A5:A6"/>
    <mergeCell ref="A2:Y2"/>
    <mergeCell ref="H18:L18"/>
    <mergeCell ref="S18:U18"/>
    <mergeCell ref="V18:Y18"/>
    <mergeCell ref="M18:N18"/>
  </mergeCells>
  <phoneticPr fontId="5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1" fitToHeight="0" orientation="landscape" r:id="rId1"/>
  <headerFooter>
    <oddHeader>&amp;RPříloha č. 7
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BA957-AF14-4F95-91EE-8A34628E1BBE}">
  <sheetPr>
    <tabColor theme="8" tint="0.59999389629810485"/>
    <pageSetUpPr fitToPage="1"/>
  </sheetPr>
  <dimension ref="A1:AQ28"/>
  <sheetViews>
    <sheetView workbookViewId="0">
      <pane ySplit="6" topLeftCell="A7" activePane="bottomLeft" state="frozen"/>
      <selection activeCell="C27" sqref="C27"/>
      <selection pane="bottomLeft" activeCell="C27" sqref="C27"/>
    </sheetView>
  </sheetViews>
  <sheetFormatPr defaultRowHeight="15" x14ac:dyDescent="0.25"/>
  <cols>
    <col min="1" max="1" width="13" style="17" customWidth="1"/>
    <col min="2" max="2" width="9.42578125" style="17" customWidth="1"/>
    <col min="3" max="3" width="9.28515625" style="17" customWidth="1"/>
    <col min="4" max="4" width="9.42578125" style="17" customWidth="1"/>
    <col min="5" max="5" width="9" style="17" customWidth="1"/>
    <col min="6" max="6" width="8.7109375" style="17" customWidth="1"/>
    <col min="7" max="7" width="8.5703125" style="17" customWidth="1"/>
    <col min="8" max="9" width="9.28515625" style="17" customWidth="1"/>
    <col min="10" max="10" width="8.7109375" style="17" customWidth="1"/>
    <col min="11" max="11" width="8.85546875" style="17" customWidth="1"/>
    <col min="12" max="12" width="8.7109375" style="17" customWidth="1"/>
    <col min="13" max="13" width="8.5703125" style="17" customWidth="1"/>
    <col min="14" max="15" width="9" style="17" customWidth="1"/>
    <col min="16" max="16" width="8.85546875" style="17" customWidth="1"/>
    <col min="17" max="17" width="9" style="17" customWidth="1"/>
    <col min="18" max="19" width="9.140625" style="17"/>
    <col min="20" max="34" width="6" style="17" customWidth="1"/>
    <col min="35" max="16384" width="9.140625" style="17"/>
  </cols>
  <sheetData>
    <row r="1" spans="1:43" ht="18.75" x14ac:dyDescent="0.25">
      <c r="A1" s="41" t="str">
        <f>'DD 2022'!A1:Y1</f>
        <v>Krajské normativy v roce 2022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43" ht="18.75" x14ac:dyDescent="0.25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43" ht="15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43" ht="15.75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43" s="15" customFormat="1" ht="15" customHeight="1" x14ac:dyDescent="0.25">
      <c r="A5" s="42"/>
      <c r="B5" s="1" t="s">
        <v>4</v>
      </c>
      <c r="C5" s="2" t="s">
        <v>5</v>
      </c>
      <c r="D5" s="3" t="s">
        <v>6</v>
      </c>
      <c r="E5" s="4" t="s">
        <v>7</v>
      </c>
      <c r="F5" s="5" t="s">
        <v>8</v>
      </c>
      <c r="G5" s="6" t="s">
        <v>9</v>
      </c>
      <c r="H5" s="7" t="s">
        <v>10</v>
      </c>
      <c r="I5" s="8" t="s">
        <v>11</v>
      </c>
      <c r="J5" s="9" t="s">
        <v>12</v>
      </c>
      <c r="K5" s="10" t="s">
        <v>13</v>
      </c>
      <c r="L5" s="11" t="s">
        <v>14</v>
      </c>
      <c r="M5" s="12" t="s">
        <v>15</v>
      </c>
      <c r="N5" s="13" t="s">
        <v>16</v>
      </c>
      <c r="O5" s="13" t="s">
        <v>16</v>
      </c>
      <c r="P5" s="13" t="s">
        <v>16</v>
      </c>
      <c r="Q5" s="14" t="s">
        <v>17</v>
      </c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43" s="15" customFormat="1" ht="71.25" customHeight="1" x14ac:dyDescent="0.25">
      <c r="A6" s="42"/>
      <c r="B6" s="39" t="s">
        <v>18</v>
      </c>
      <c r="C6" s="39" t="s">
        <v>19</v>
      </c>
      <c r="D6" s="39" t="s">
        <v>2</v>
      </c>
      <c r="E6" s="39" t="s">
        <v>3</v>
      </c>
      <c r="F6" s="39" t="s">
        <v>20</v>
      </c>
      <c r="G6" s="39" t="s">
        <v>21</v>
      </c>
      <c r="H6" s="39" t="s">
        <v>22</v>
      </c>
      <c r="I6" s="39" t="s">
        <v>29</v>
      </c>
      <c r="J6" s="39" t="s">
        <v>23</v>
      </c>
      <c r="K6" s="39" t="s">
        <v>24</v>
      </c>
      <c r="L6" s="39" t="s">
        <v>25</v>
      </c>
      <c r="M6" s="39" t="s">
        <v>26</v>
      </c>
      <c r="N6" s="39" t="s">
        <v>27</v>
      </c>
      <c r="O6" s="39" t="s">
        <v>27</v>
      </c>
      <c r="P6" s="39" t="s">
        <v>27</v>
      </c>
      <c r="Q6" s="39" t="s">
        <v>30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43" s="15" customFormat="1" ht="47.25" customHeight="1" x14ac:dyDescent="0.25">
      <c r="A7" s="27" t="s">
        <v>40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3">
        <v>2</v>
      </c>
      <c r="O7" s="13">
        <v>3</v>
      </c>
      <c r="P7" s="13">
        <v>4</v>
      </c>
      <c r="Q7" s="33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43" x14ac:dyDescent="0.25">
      <c r="A8" s="16" t="s">
        <v>1</v>
      </c>
      <c r="B8" s="23" t="s">
        <v>35</v>
      </c>
      <c r="C8" s="23" t="s">
        <v>35</v>
      </c>
      <c r="D8" s="23" t="s">
        <v>35</v>
      </c>
      <c r="E8" s="23" t="s">
        <v>35</v>
      </c>
      <c r="F8" s="23" t="s">
        <v>35</v>
      </c>
      <c r="G8" s="18">
        <f>SUM(G9:G10)+G13</f>
        <v>2877424.0384615385</v>
      </c>
      <c r="H8" s="23" t="s">
        <v>35</v>
      </c>
      <c r="I8" s="23" t="s">
        <v>35</v>
      </c>
      <c r="J8" s="23" t="s">
        <v>35</v>
      </c>
      <c r="K8" s="23" t="s">
        <v>35</v>
      </c>
      <c r="L8" s="18">
        <f>SUM(L9:L10)+L13</f>
        <v>3460007.566800321</v>
      </c>
      <c r="M8" s="23" t="s">
        <v>35</v>
      </c>
      <c r="N8" s="24">
        <f>SUM(N9:N10)+N13</f>
        <v>4096583.725601668</v>
      </c>
      <c r="O8" s="18">
        <f t="shared" ref="O8:P8" si="0">IFERROR((SUM(O9:O10)+O13),"x")</f>
        <v>3537293.0891077085</v>
      </c>
      <c r="P8" s="18">
        <f t="shared" si="0"/>
        <v>3053404.5897054928</v>
      </c>
      <c r="Q8" s="23" t="s">
        <v>35</v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</row>
    <row r="9" spans="1:43" x14ac:dyDescent="0.25">
      <c r="A9" s="16" t="s">
        <v>37</v>
      </c>
      <c r="B9" s="23" t="s">
        <v>35</v>
      </c>
      <c r="C9" s="23" t="s">
        <v>35</v>
      </c>
      <c r="D9" s="23" t="s">
        <v>35</v>
      </c>
      <c r="E9" s="23" t="s">
        <v>35</v>
      </c>
      <c r="F9" s="23" t="s">
        <v>35</v>
      </c>
      <c r="G9" s="18">
        <f>G11+G12</f>
        <v>2095673.076923077</v>
      </c>
      <c r="H9" s="23" t="s">
        <v>35</v>
      </c>
      <c r="I9" s="23" t="s">
        <v>35</v>
      </c>
      <c r="J9" s="23" t="s">
        <v>35</v>
      </c>
      <c r="K9" s="23" t="s">
        <v>35</v>
      </c>
      <c r="L9" s="18">
        <f>L11+L12</f>
        <v>2538729.4306335207</v>
      </c>
      <c r="M9" s="23" t="s">
        <v>35</v>
      </c>
      <c r="N9" s="24">
        <f>N11+N12</f>
        <v>3001902.5961720678</v>
      </c>
      <c r="O9" s="18">
        <f t="shared" ref="O9:P9" si="1">O11+O12</f>
        <v>2590053.821139697</v>
      </c>
      <c r="P9" s="18">
        <f t="shared" si="1"/>
        <v>2233729.447500363</v>
      </c>
      <c r="Q9" s="23" t="s">
        <v>35</v>
      </c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</row>
    <row r="10" spans="1:43" x14ac:dyDescent="0.25">
      <c r="A10" s="16" t="s">
        <v>0</v>
      </c>
      <c r="B10" s="23" t="s">
        <v>35</v>
      </c>
      <c r="C10" s="23" t="s">
        <v>35</v>
      </c>
      <c r="D10" s="23" t="s">
        <v>35</v>
      </c>
      <c r="E10" s="23" t="s">
        <v>35</v>
      </c>
      <c r="F10" s="23" t="s">
        <v>35</v>
      </c>
      <c r="G10" s="18">
        <f t="shared" ref="G10:P10" si="2">IFERROR(0.358*G9,"x")</f>
        <v>750250.9615384615</v>
      </c>
      <c r="H10" s="23" t="s">
        <v>35</v>
      </c>
      <c r="I10" s="23" t="s">
        <v>35</v>
      </c>
      <c r="J10" s="23" t="s">
        <v>35</v>
      </c>
      <c r="K10" s="23" t="s">
        <v>35</v>
      </c>
      <c r="L10" s="18">
        <f t="shared" si="2"/>
        <v>908865.1361668004</v>
      </c>
      <c r="M10" s="23" t="s">
        <v>35</v>
      </c>
      <c r="N10" s="24">
        <f t="shared" si="2"/>
        <v>1074681.1294296002</v>
      </c>
      <c r="O10" s="18">
        <f t="shared" si="2"/>
        <v>927239.26796801144</v>
      </c>
      <c r="P10" s="18">
        <f t="shared" si="2"/>
        <v>799675.14220512996</v>
      </c>
      <c r="Q10" s="23" t="s">
        <v>35</v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</row>
    <row r="11" spans="1:43" x14ac:dyDescent="0.25">
      <c r="A11" s="16" t="s">
        <v>38</v>
      </c>
      <c r="B11" s="23" t="s">
        <v>35</v>
      </c>
      <c r="C11" s="23" t="s">
        <v>35</v>
      </c>
      <c r="D11" s="23" t="s">
        <v>35</v>
      </c>
      <c r="E11" s="23" t="s">
        <v>35</v>
      </c>
      <c r="F11" s="23" t="s">
        <v>35</v>
      </c>
      <c r="G11" s="18">
        <f t="shared" ref="G11:P11" si="3">IFERROR(12*G15/G14,"x")</f>
        <v>1348351.6483516484</v>
      </c>
      <c r="H11" s="23" t="s">
        <v>35</v>
      </c>
      <c r="I11" s="23" t="s">
        <v>35</v>
      </c>
      <c r="J11" s="23" t="s">
        <v>35</v>
      </c>
      <c r="K11" s="23" t="s">
        <v>35</v>
      </c>
      <c r="L11" s="18">
        <f t="shared" si="3"/>
        <v>1757668.9655172415</v>
      </c>
      <c r="M11" s="23" t="s">
        <v>35</v>
      </c>
      <c r="N11" s="24">
        <f t="shared" si="3"/>
        <v>1935235.9295054011</v>
      </c>
      <c r="O11" s="18">
        <f t="shared" si="3"/>
        <v>1669758.0117724002</v>
      </c>
      <c r="P11" s="18">
        <f t="shared" si="3"/>
        <v>1439966.1590524535</v>
      </c>
      <c r="Q11" s="23" t="s">
        <v>35</v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</row>
    <row r="12" spans="1:43" x14ac:dyDescent="0.25">
      <c r="A12" s="16" t="s">
        <v>39</v>
      </c>
      <c r="B12" s="23" t="s">
        <v>35</v>
      </c>
      <c r="C12" s="23" t="s">
        <v>35</v>
      </c>
      <c r="D12" s="23" t="s">
        <v>35</v>
      </c>
      <c r="E12" s="23" t="s">
        <v>35</v>
      </c>
      <c r="F12" s="23" t="s">
        <v>35</v>
      </c>
      <c r="G12" s="18">
        <f t="shared" ref="G12:N12" si="4">IFERROR(12*G17/G16,"x")</f>
        <v>747321.42857142852</v>
      </c>
      <c r="H12" s="23" t="s">
        <v>35</v>
      </c>
      <c r="I12" s="23" t="s">
        <v>35</v>
      </c>
      <c r="J12" s="23" t="s">
        <v>35</v>
      </c>
      <c r="K12" s="23" t="s">
        <v>35</v>
      </c>
      <c r="L12" s="18">
        <f t="shared" si="4"/>
        <v>781060.46511627908</v>
      </c>
      <c r="M12" s="23" t="s">
        <v>35</v>
      </c>
      <c r="N12" s="24">
        <f t="shared" si="4"/>
        <v>1066666.6666666667</v>
      </c>
      <c r="O12" s="18">
        <f>IFERROR(12*O17/O16,"x")</f>
        <v>920295.80936729664</v>
      </c>
      <c r="P12" s="18">
        <f t="shared" ref="P12" si="5">IFERROR(12*P17/P16,"x")</f>
        <v>793763.28844790929</v>
      </c>
      <c r="Q12" s="23" t="s">
        <v>35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spans="1:43" x14ac:dyDescent="0.25">
      <c r="A13" s="16" t="s">
        <v>28</v>
      </c>
      <c r="B13" s="23" t="s">
        <v>35</v>
      </c>
      <c r="C13" s="23" t="s">
        <v>35</v>
      </c>
      <c r="D13" s="23" t="s">
        <v>35</v>
      </c>
      <c r="E13" s="23" t="s">
        <v>35</v>
      </c>
      <c r="F13" s="23" t="s">
        <v>35</v>
      </c>
      <c r="G13" s="18">
        <v>31500</v>
      </c>
      <c r="H13" s="23" t="s">
        <v>35</v>
      </c>
      <c r="I13" s="23" t="s">
        <v>35</v>
      </c>
      <c r="J13" s="23" t="s">
        <v>35</v>
      </c>
      <c r="K13" s="23" t="s">
        <v>35</v>
      </c>
      <c r="L13" s="18">
        <v>12413</v>
      </c>
      <c r="M13" s="23" t="s">
        <v>35</v>
      </c>
      <c r="N13" s="18">
        <v>20000</v>
      </c>
      <c r="O13" s="18">
        <v>20000</v>
      </c>
      <c r="P13" s="18">
        <v>20000</v>
      </c>
      <c r="Q13" s="23" t="s">
        <v>35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</row>
    <row r="14" spans="1:43" s="19" customFormat="1" ht="15" customHeight="1" x14ac:dyDescent="0.25">
      <c r="A14" s="16" t="s">
        <v>31</v>
      </c>
      <c r="B14" s="23" t="s">
        <v>35</v>
      </c>
      <c r="C14" s="23" t="s">
        <v>35</v>
      </c>
      <c r="D14" s="23" t="s">
        <v>35</v>
      </c>
      <c r="E14" s="23" t="s">
        <v>35</v>
      </c>
      <c r="F14" s="23" t="s">
        <v>35</v>
      </c>
      <c r="G14" s="26">
        <v>0.36399999999999999</v>
      </c>
      <c r="H14" s="23" t="s">
        <v>35</v>
      </c>
      <c r="I14" s="23" t="s">
        <v>35</v>
      </c>
      <c r="J14" s="23" t="s">
        <v>35</v>
      </c>
      <c r="K14" s="23" t="s">
        <v>35</v>
      </c>
      <c r="L14" s="26">
        <v>0.28999999999999998</v>
      </c>
      <c r="M14" s="23" t="s">
        <v>35</v>
      </c>
      <c r="N14" s="26">
        <v>0.26384999999999997</v>
      </c>
      <c r="O14" s="26">
        <v>0.30580000000000002</v>
      </c>
      <c r="P14" s="26">
        <v>0.35460000000000003</v>
      </c>
      <c r="Q14" s="23" t="s">
        <v>35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</row>
    <row r="15" spans="1:43" x14ac:dyDescent="0.25">
      <c r="A15" s="16" t="s">
        <v>32</v>
      </c>
      <c r="B15" s="23" t="s">
        <v>35</v>
      </c>
      <c r="C15" s="23" t="s">
        <v>35</v>
      </c>
      <c r="D15" s="23" t="s">
        <v>35</v>
      </c>
      <c r="E15" s="23" t="s">
        <v>35</v>
      </c>
      <c r="F15" s="23" t="s">
        <v>35</v>
      </c>
      <c r="G15" s="18">
        <v>40900</v>
      </c>
      <c r="H15" s="23" t="s">
        <v>35</v>
      </c>
      <c r="I15" s="23" t="s">
        <v>35</v>
      </c>
      <c r="J15" s="23" t="s">
        <v>35</v>
      </c>
      <c r="K15" s="23" t="s">
        <v>35</v>
      </c>
      <c r="L15" s="18">
        <v>42477</v>
      </c>
      <c r="M15" s="23" t="s">
        <v>35</v>
      </c>
      <c r="N15" s="18">
        <v>42551</v>
      </c>
      <c r="O15" s="18">
        <v>42551</v>
      </c>
      <c r="P15" s="18">
        <v>42551</v>
      </c>
      <c r="Q15" s="23" t="s">
        <v>35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</row>
    <row r="16" spans="1:43" x14ac:dyDescent="0.25">
      <c r="A16" s="16" t="s">
        <v>33</v>
      </c>
      <c r="B16" s="23" t="s">
        <v>35</v>
      </c>
      <c r="C16" s="23" t="s">
        <v>35</v>
      </c>
      <c r="D16" s="23" t="s">
        <v>35</v>
      </c>
      <c r="E16" s="23" t="s">
        <v>35</v>
      </c>
      <c r="F16" s="23" t="s">
        <v>35</v>
      </c>
      <c r="G16" s="26">
        <v>0.44800000000000001</v>
      </c>
      <c r="H16" s="23" t="s">
        <v>35</v>
      </c>
      <c r="I16" s="23" t="s">
        <v>35</v>
      </c>
      <c r="J16" s="23" t="s">
        <v>35</v>
      </c>
      <c r="K16" s="23" t="s">
        <v>35</v>
      </c>
      <c r="L16" s="26">
        <v>0.43</v>
      </c>
      <c r="M16" s="23" t="s">
        <v>35</v>
      </c>
      <c r="N16" s="26">
        <v>0.315</v>
      </c>
      <c r="O16" s="26">
        <v>0.36509999999999998</v>
      </c>
      <c r="P16" s="26">
        <v>0.42330000000000001</v>
      </c>
      <c r="Q16" s="23" t="s">
        <v>35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</row>
    <row r="17" spans="1:43" x14ac:dyDescent="0.25">
      <c r="A17" s="16" t="s">
        <v>34</v>
      </c>
      <c r="B17" s="23" t="s">
        <v>35</v>
      </c>
      <c r="C17" s="23" t="s">
        <v>35</v>
      </c>
      <c r="D17" s="23" t="s">
        <v>35</v>
      </c>
      <c r="E17" s="23" t="s">
        <v>35</v>
      </c>
      <c r="F17" s="23" t="s">
        <v>35</v>
      </c>
      <c r="G17" s="18">
        <v>27900</v>
      </c>
      <c r="H17" s="23" t="s">
        <v>35</v>
      </c>
      <c r="I17" s="23" t="s">
        <v>35</v>
      </c>
      <c r="J17" s="23" t="s">
        <v>35</v>
      </c>
      <c r="K17" s="23" t="s">
        <v>35</v>
      </c>
      <c r="L17" s="18">
        <v>27988</v>
      </c>
      <c r="M17" s="23" t="s">
        <v>35</v>
      </c>
      <c r="N17" s="18">
        <v>28000</v>
      </c>
      <c r="O17" s="18">
        <v>28000</v>
      </c>
      <c r="P17" s="18">
        <v>28000</v>
      </c>
      <c r="Q17" s="23" t="s">
        <v>35</v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</row>
    <row r="18" spans="1:43" x14ac:dyDescent="0.25">
      <c r="A18" s="20"/>
      <c r="B18" s="20"/>
      <c r="C18" s="20"/>
      <c r="D18" s="20"/>
      <c r="E18" s="20"/>
      <c r="F18" s="20"/>
      <c r="G18" s="20"/>
      <c r="H18" s="21"/>
      <c r="I18" s="20"/>
      <c r="J18" s="20"/>
      <c r="K18" s="20"/>
      <c r="L18" s="20"/>
      <c r="M18" s="20"/>
      <c r="N18" s="20"/>
      <c r="O18" s="20"/>
      <c r="P18" s="20"/>
      <c r="Q18" s="21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</row>
    <row r="20" spans="1:43" x14ac:dyDescent="0.25">
      <c r="N20" s="34"/>
      <c r="O20" s="34"/>
      <c r="P20" s="34"/>
    </row>
    <row r="21" spans="1:43" x14ac:dyDescent="0.25">
      <c r="N21" s="34"/>
      <c r="O21" s="34"/>
      <c r="P21" s="34"/>
    </row>
    <row r="22" spans="1:43" x14ac:dyDescent="0.25">
      <c r="N22" s="34"/>
      <c r="O22" s="34"/>
      <c r="P22" s="34"/>
    </row>
    <row r="23" spans="1:43" x14ac:dyDescent="0.25">
      <c r="N23" s="34"/>
      <c r="O23" s="34"/>
      <c r="P23" s="34"/>
    </row>
    <row r="24" spans="1:43" x14ac:dyDescent="0.25">
      <c r="N24" s="34"/>
      <c r="O24" s="34"/>
      <c r="P24" s="34"/>
    </row>
    <row r="25" spans="1:43" x14ac:dyDescent="0.25">
      <c r="N25" s="35"/>
      <c r="O25" s="35"/>
      <c r="P25" s="35"/>
    </row>
    <row r="26" spans="1:43" x14ac:dyDescent="0.25">
      <c r="N26" s="34"/>
      <c r="O26" s="34"/>
      <c r="P26" s="34"/>
    </row>
    <row r="27" spans="1:43" x14ac:dyDescent="0.25">
      <c r="N27" s="35"/>
      <c r="O27" s="35"/>
      <c r="P27" s="35"/>
    </row>
    <row r="28" spans="1:43" x14ac:dyDescent="0.25">
      <c r="N28" s="34"/>
      <c r="O28" s="34"/>
      <c r="P28" s="34"/>
    </row>
  </sheetData>
  <mergeCells count="3">
    <mergeCell ref="A1:Q1"/>
    <mergeCell ref="A5:A6"/>
    <mergeCell ref="A2:Q2"/>
  </mergeCells>
  <printOptions horizontalCentered="1"/>
  <pageMargins left="0.39370078740157483" right="0.39370078740157483" top="0.55118110236220474" bottom="0.55118110236220474" header="0.31496062992125984" footer="0.31496062992125984"/>
  <pageSetup paperSize="9" scale="88" fitToHeight="0" orientation="landscape" r:id="rId1"/>
  <headerFooter>
    <oddHeader>&amp;RPříloha č. 7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titul</vt:lpstr>
      <vt:lpstr>DD 2022</vt:lpstr>
      <vt:lpstr>DD se školou 2022 </vt:lpstr>
      <vt:lpstr>'DD 2022'!Názvy_tisku</vt:lpstr>
      <vt:lpstr>'DD se školou 2022 '!Názvy_tisku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Vyšinská Anežka</cp:lastModifiedBy>
  <cp:lastPrinted>2023-01-20T12:48:22Z</cp:lastPrinted>
  <dcterms:created xsi:type="dcterms:W3CDTF">2013-04-19T07:05:39Z</dcterms:created>
  <dcterms:modified xsi:type="dcterms:W3CDTF">2023-01-20T12:48:27Z</dcterms:modified>
</cp:coreProperties>
</file>