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I\10_odbor\101_oddělení\2_Hrdinová\Krajské normativy 2024\NA WEB MŠMT\Aktualizace 11.12.2024\"/>
    </mc:Choice>
  </mc:AlternateContent>
  <xr:revisionPtr revIDLastSave="0" documentId="13_ncr:1_{8FB024B4-16E4-4098-8440-A7BEAEE6FE2D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titul" sheetId="8" r:id="rId1"/>
    <sheet name="SPC 2024" sheetId="9" r:id="rId2"/>
  </sheets>
  <definedNames>
    <definedName name="_xlnm.Print_Titles" localSheetId="1">'SPC 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7" i="9" l="1"/>
  <c r="P10" i="9"/>
  <c r="P11" i="9"/>
  <c r="Y22" i="9" l="1"/>
  <c r="Z22" i="9"/>
  <c r="AA22" i="9"/>
  <c r="X22" i="9"/>
  <c r="AN17" i="9"/>
  <c r="AN14" i="9"/>
  <c r="AN16" i="9" l="1"/>
  <c r="AN18" i="9"/>
  <c r="N14" i="9"/>
  <c r="N18" i="9"/>
  <c r="N16" i="9"/>
  <c r="N17" i="9"/>
  <c r="N15" i="9"/>
  <c r="M17" i="9"/>
  <c r="M15" i="9"/>
  <c r="M14" i="9"/>
  <c r="L17" i="9"/>
  <c r="L15" i="9"/>
  <c r="L14" i="9"/>
  <c r="K17" i="9"/>
  <c r="K15" i="9"/>
  <c r="K14" i="9"/>
  <c r="AM17" i="9"/>
  <c r="AL17" i="9"/>
  <c r="AK17" i="9"/>
  <c r="AJ17" i="9"/>
  <c r="AI17" i="9"/>
  <c r="AM15" i="9"/>
  <c r="AL15" i="9"/>
  <c r="AN15" i="9" s="1"/>
  <c r="AJ15" i="9"/>
  <c r="AK15" i="9"/>
  <c r="AI15" i="9"/>
  <c r="AD18" i="9" l="1"/>
  <c r="AD16" i="9"/>
  <c r="V17" i="9" l="1"/>
  <c r="V15" i="9"/>
  <c r="V14" i="9"/>
  <c r="U17" i="9"/>
  <c r="U15" i="9"/>
  <c r="U14" i="9"/>
  <c r="T17" i="9"/>
  <c r="T15" i="9"/>
  <c r="T14" i="9"/>
  <c r="S15" i="9"/>
  <c r="S14" i="9"/>
  <c r="R17" i="9"/>
  <c r="R15" i="9"/>
  <c r="R14" i="9"/>
  <c r="Q17" i="9"/>
  <c r="Q15" i="9"/>
  <c r="Q14" i="9"/>
  <c r="J17" i="9" l="1"/>
  <c r="J15" i="9"/>
  <c r="J14" i="9"/>
  <c r="G17" i="9" l="1"/>
  <c r="G15" i="9"/>
  <c r="G14" i="9"/>
  <c r="F17" i="9"/>
  <c r="F15" i="9"/>
  <c r="F14" i="9"/>
  <c r="D17" i="9" l="1"/>
  <c r="D15" i="9"/>
  <c r="D12" i="9" s="1"/>
  <c r="D14" i="9"/>
  <c r="F16" i="9" l="1"/>
  <c r="F12" i="9" s="1"/>
  <c r="AM18" i="9"/>
  <c r="AL18" i="9"/>
  <c r="AK18" i="9"/>
  <c r="AJ18" i="9"/>
  <c r="AI18" i="9"/>
  <c r="AG18" i="9"/>
  <c r="AG13" i="9" s="1"/>
  <c r="V18" i="9"/>
  <c r="U18" i="9"/>
  <c r="T18" i="9"/>
  <c r="S18" i="9"/>
  <c r="R18" i="9"/>
  <c r="Q18" i="9"/>
  <c r="M18" i="9"/>
  <c r="L18" i="9"/>
  <c r="K18" i="9"/>
  <c r="J18" i="9"/>
  <c r="N13" i="9" s="1"/>
  <c r="G18" i="9"/>
  <c r="G13" i="9" s="1"/>
  <c r="F18" i="9"/>
  <c r="F13" i="9" s="1"/>
  <c r="AA13" i="9"/>
  <c r="Z13" i="9"/>
  <c r="X13" i="9"/>
  <c r="AN13" i="9" s="1"/>
  <c r="D13" i="9"/>
  <c r="D10" i="9" s="1"/>
  <c r="D11" i="9" s="1"/>
  <c r="AM16" i="9"/>
  <c r="AL16" i="9"/>
  <c r="AK16" i="9"/>
  <c r="AJ16" i="9"/>
  <c r="AI16" i="9"/>
  <c r="AG16" i="9"/>
  <c r="AG12" i="9" s="1"/>
  <c r="V16" i="9"/>
  <c r="V12" i="9" s="1"/>
  <c r="U16" i="9"/>
  <c r="T16" i="9"/>
  <c r="S16" i="9"/>
  <c r="R16" i="9"/>
  <c r="Q16" i="9"/>
  <c r="M16" i="9"/>
  <c r="L16" i="9"/>
  <c r="K16" i="9"/>
  <c r="J16" i="9"/>
  <c r="N12" i="9" s="1"/>
  <c r="G16" i="9"/>
  <c r="AA12" i="9"/>
  <c r="Z12" i="9"/>
  <c r="X12" i="9"/>
  <c r="AH13" i="9"/>
  <c r="AF13" i="9"/>
  <c r="AE13" i="9"/>
  <c r="AD13" i="9"/>
  <c r="AC13" i="9"/>
  <c r="AB13" i="9"/>
  <c r="Y13" i="9"/>
  <c r="W13" i="9"/>
  <c r="P13" i="9"/>
  <c r="O13" i="9"/>
  <c r="I13" i="9"/>
  <c r="H13" i="9"/>
  <c r="E13" i="9"/>
  <c r="C13" i="9"/>
  <c r="B13" i="9"/>
  <c r="AL12" i="9"/>
  <c r="AH12" i="9"/>
  <c r="AF12" i="9"/>
  <c r="AE12" i="9"/>
  <c r="AD12" i="9"/>
  <c r="AC12" i="9"/>
  <c r="AB12" i="9"/>
  <c r="AB10" i="9" s="1"/>
  <c r="AB11" i="9" s="1"/>
  <c r="Y12" i="9"/>
  <c r="W12" i="9"/>
  <c r="P12" i="9"/>
  <c r="O12" i="9"/>
  <c r="I12" i="9"/>
  <c r="H12" i="9"/>
  <c r="E12" i="9"/>
  <c r="C12" i="9"/>
  <c r="C10" i="9" s="1"/>
  <c r="C11" i="9" s="1"/>
  <c r="B12" i="9"/>
  <c r="AN12" i="9" l="1"/>
  <c r="N10" i="9"/>
  <c r="N11" i="9" s="1"/>
  <c r="N9" i="9" s="1"/>
  <c r="K12" i="9"/>
  <c r="L12" i="9"/>
  <c r="AD10" i="9"/>
  <c r="AD11" i="9" s="1"/>
  <c r="AC10" i="9"/>
  <c r="AC11" i="9" s="1"/>
  <c r="Y10" i="9"/>
  <c r="Y11" i="9" s="1"/>
  <c r="Y9" i="9" s="1"/>
  <c r="W10" i="9"/>
  <c r="W11" i="9" s="1"/>
  <c r="W9" i="9" s="1"/>
  <c r="AK13" i="9"/>
  <c r="X10" i="9"/>
  <c r="S13" i="9"/>
  <c r="AL13" i="9"/>
  <c r="AL10" i="9" s="1"/>
  <c r="AL11" i="9" s="1"/>
  <c r="AE10" i="9"/>
  <c r="AE11" i="9" s="1"/>
  <c r="AF10" i="9"/>
  <c r="AF11" i="9" s="1"/>
  <c r="T12" i="9"/>
  <c r="AJ12" i="9"/>
  <c r="AM13" i="9"/>
  <c r="U12" i="9"/>
  <c r="AK12" i="9"/>
  <c r="Q13" i="9"/>
  <c r="J13" i="9"/>
  <c r="U13" i="9"/>
  <c r="I10" i="9"/>
  <c r="I11" i="9" s="1"/>
  <c r="I9" i="9" s="1"/>
  <c r="M12" i="9"/>
  <c r="E10" i="9"/>
  <c r="E11" i="9" s="1"/>
  <c r="E9" i="9" s="1"/>
  <c r="F10" i="9"/>
  <c r="F11" i="9" s="1"/>
  <c r="O10" i="9"/>
  <c r="O11" i="9" s="1"/>
  <c r="Z10" i="9"/>
  <c r="Z11" i="9" s="1"/>
  <c r="J12" i="9"/>
  <c r="R13" i="9"/>
  <c r="K13" i="9"/>
  <c r="K10" i="9" s="1"/>
  <c r="K11" i="9" s="1"/>
  <c r="V13" i="9"/>
  <c r="V10" i="9" s="1"/>
  <c r="V11" i="9" s="1"/>
  <c r="AM12" i="9"/>
  <c r="AH10" i="9"/>
  <c r="AH11" i="9" s="1"/>
  <c r="Q12" i="9"/>
  <c r="L13" i="9"/>
  <c r="G12" i="9"/>
  <c r="G10" i="9" s="1"/>
  <c r="G11" i="9" s="1"/>
  <c r="G9" i="9" s="1"/>
  <c r="H10" i="9"/>
  <c r="H11" i="9" s="1"/>
  <c r="R12" i="9"/>
  <c r="AG10" i="9"/>
  <c r="AG11" i="9" s="1"/>
  <c r="T13" i="9"/>
  <c r="M13" i="9"/>
  <c r="AI13" i="9"/>
  <c r="S12" i="9"/>
  <c r="AI12" i="9"/>
  <c r="AJ13" i="9"/>
  <c r="B10" i="9"/>
  <c r="B11" i="9" s="1"/>
  <c r="D9" i="9"/>
  <c r="AA10" i="9"/>
  <c r="AA11" i="9" s="1"/>
  <c r="AB9" i="9"/>
  <c r="C9" i="9"/>
  <c r="AD9" i="9"/>
  <c r="X11" i="9" l="1"/>
  <c r="AN10" i="9"/>
  <c r="L10" i="9"/>
  <c r="L11" i="9" s="1"/>
  <c r="L9" i="9" s="1"/>
  <c r="AI10" i="9"/>
  <c r="AI11" i="9" s="1"/>
  <c r="AK10" i="9"/>
  <c r="AK11" i="9" s="1"/>
  <c r="AK9" i="9" s="1"/>
  <c r="J10" i="9"/>
  <c r="J11" i="9" s="1"/>
  <c r="AM10" i="9"/>
  <c r="AM11" i="9" s="1"/>
  <c r="AF9" i="9"/>
  <c r="AC9" i="9"/>
  <c r="U10" i="9"/>
  <c r="U11" i="9" s="1"/>
  <c r="S10" i="9"/>
  <c r="S11" i="9" s="1"/>
  <c r="R10" i="9"/>
  <c r="R11" i="9" s="1"/>
  <c r="Q10" i="9"/>
  <c r="Q11" i="9" s="1"/>
  <c r="T10" i="9"/>
  <c r="T11" i="9" s="1"/>
  <c r="S9" i="9"/>
  <c r="AE9" i="9"/>
  <c r="M10" i="9"/>
  <c r="M11" i="9" s="1"/>
  <c r="AJ10" i="9"/>
  <c r="AJ11" i="9" s="1"/>
  <c r="V9" i="9"/>
  <c r="F9" i="9"/>
  <c r="H9" i="9"/>
  <c r="K9" i="9"/>
  <c r="AH9" i="9"/>
  <c r="Z9" i="9"/>
  <c r="AG9" i="9"/>
  <c r="P9" i="9"/>
  <c r="AL9" i="9"/>
  <c r="R9" i="9"/>
  <c r="O9" i="9"/>
  <c r="B9" i="9"/>
  <c r="J9" i="9"/>
  <c r="AI9" i="9"/>
  <c r="AA9" i="9"/>
  <c r="X9" i="9" l="1"/>
  <c r="AN9" i="9" s="1"/>
  <c r="AN11" i="9"/>
  <c r="AM9" i="9"/>
  <c r="U9" i="9"/>
  <c r="T9" i="9"/>
  <c r="Q9" i="9"/>
  <c r="AJ9" i="9"/>
  <c r="M9" i="9"/>
</calcChain>
</file>

<file path=xl/sharedStrings.xml><?xml version="1.0" encoding="utf-8"?>
<sst xmlns="http://schemas.openxmlformats.org/spreadsheetml/2006/main" count="154" uniqueCount="85">
  <si>
    <t>Odvody</t>
  </si>
  <si>
    <t>NIV celkem</t>
  </si>
  <si>
    <t>Jihočeský</t>
  </si>
  <si>
    <t>Plzeňský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</si>
  <si>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</si>
  <si>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</si>
  <si>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</si>
  <si>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</si>
  <si>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</si>
  <si>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</si>
  <si>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</si>
  <si>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</si>
  <si>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</si>
  <si>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</si>
  <si>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</si>
  <si>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</si>
  <si>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</si>
  <si>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</si>
  <si>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Hl. m. Praha</t>
  </si>
  <si>
    <t>Středočeský</t>
  </si>
  <si>
    <t xml:space="preserve">Karlovarský </t>
  </si>
  <si>
    <t xml:space="preserve">Ústecký  </t>
  </si>
  <si>
    <t>Liberecký</t>
  </si>
  <si>
    <t>Pardubický</t>
  </si>
  <si>
    <t>Vysočina</t>
  </si>
  <si>
    <t>Jihomoravský</t>
  </si>
  <si>
    <t>Olomoucký</t>
  </si>
  <si>
    <t>Zlínský</t>
  </si>
  <si>
    <t>ONIV celkem</t>
  </si>
  <si>
    <t>Králové hradecký</t>
  </si>
  <si>
    <t>Moravsko slezský</t>
  </si>
  <si>
    <t>Np</t>
  </si>
  <si>
    <t>Pp</t>
  </si>
  <si>
    <t>No</t>
  </si>
  <si>
    <t>Po</t>
  </si>
  <si>
    <t>MP bez odv.</t>
  </si>
  <si>
    <t>MPP bez odv.</t>
  </si>
  <si>
    <t>MPN bez odv.</t>
  </si>
  <si>
    <t>POZNÁMKY</t>
  </si>
  <si>
    <t>vady řeči</t>
  </si>
  <si>
    <t>zrakové</t>
  </si>
  <si>
    <t>sluchové</t>
  </si>
  <si>
    <t>více vad, autismus</t>
  </si>
  <si>
    <t>ostatní</t>
  </si>
  <si>
    <t>zrakové, sluchové</t>
  </si>
  <si>
    <t>zrakové, sluchové, tělesné, vady řeči, jiný zdrav. stav, ostatní</t>
  </si>
  <si>
    <t>mentální, kombinované postižení, autismus</t>
  </si>
  <si>
    <t>Porovnání krajských normativů mzdových prostředků a ostatních neinvestičních výdajů</t>
  </si>
  <si>
    <t>Děti, žáci, studenti speciálně pedagogických center</t>
  </si>
  <si>
    <t>SPECIÁLNĚ PEDAGOGICKÁ CENTRA</t>
  </si>
  <si>
    <t>oprav. koef. dle druhu postižení</t>
  </si>
  <si>
    <t>Opravný koeficient dle specifikace postižení uvádí 6 krajů. Zlínský kraj neuvádí opravný koeficient, ale má nastaveny 2 různé ukazatele Np dle druhu postižení.</t>
  </si>
  <si>
    <t>základní normativ</t>
  </si>
  <si>
    <t>počet normativů
v daném kraji celkem</t>
  </si>
  <si>
    <t>Speciálně pedagogické centrum SPC (v Kč/dítě, žáka, studenta)</t>
  </si>
  <si>
    <t>základní normativ, mentální, tělesné, jiný zdrav. stav</t>
  </si>
  <si>
    <t>základní normativ, zrakové</t>
  </si>
  <si>
    <t>Všechny kraje mají stanovený finanční normativ jako konstantu.</t>
  </si>
  <si>
    <t>vady řeči (K=0,6)</t>
  </si>
  <si>
    <t>mentální (K=0,3)</t>
  </si>
  <si>
    <t>vady řeči (K=0,25)</t>
  </si>
  <si>
    <t>nemají oprav. koef. dle druhu znevýhodnění</t>
  </si>
  <si>
    <t>oprav. koef. dle druhu znevýhodnění</t>
  </si>
  <si>
    <t>nemají oprav. koef., různé Np dle specifikace znevýhodnění</t>
  </si>
  <si>
    <t>základní normativ, mentální, tělesné</t>
  </si>
  <si>
    <t>více vad</t>
  </si>
  <si>
    <t>autismus</t>
  </si>
  <si>
    <t>Příloha č. 7</t>
  </si>
  <si>
    <t>Krajské normativy v roce 2024</t>
  </si>
  <si>
    <t>koeficient</t>
  </si>
  <si>
    <t>0,6</t>
  </si>
  <si>
    <t>zrakové, sluchové (K=4)</t>
  </si>
  <si>
    <t>mentální (K=3,5)</t>
  </si>
  <si>
    <t>vady řeči (K=1,4)</t>
  </si>
  <si>
    <t>tělesné (K=2,5)</t>
  </si>
  <si>
    <t>s více vadami, autismus (K=4,5)</t>
  </si>
  <si>
    <t>vady řeči (K=0,73)</t>
  </si>
  <si>
    <t>zrakové (K=0,93)</t>
  </si>
  <si>
    <t>souběžné postižení více vadami (K=1,4)</t>
  </si>
  <si>
    <t>tělesné (K=1,5)</t>
  </si>
  <si>
    <t>autismus (K=1,15)</t>
  </si>
  <si>
    <t>stanovených jednotlivými krajskými úřady pro krajské a obecní školství v roce 2024</t>
  </si>
  <si>
    <t>Průměr ČR</t>
  </si>
  <si>
    <t>Č.j.: MSMT-15793/2024-1</t>
  </si>
  <si>
    <t>sluch, mentální (K=0,755)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</si>
</sst>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8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1" fillId="16" borderId="1" xfId="0" applyNumberFormat="1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3" fontId="5" fillId="17" borderId="1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0" fontId="0" fillId="0" borderId="0" xfId="0" applyAlignment="1">
      <alignment horizontal="left"/>
    </xf>
    <xf numFmtId="165" fontId="0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A1189-1FE7-4AAA-91EB-A1199F219D13}">
  <sheetPr>
    <tabColor theme="8" tint="-0.249977111117893"/>
  </sheetPr>
  <dimension ref="A2:A47"/>
  <sheetViews>
    <sheetView topLeftCell="A26" zoomScale="80" zoomScaleNormal="80" workbookViewId="0">
      <selection activeCell="A2" sqref="A2"/>
    </sheetView>
  </sheetViews>
  <sheetFormatPr defaultRowHeight="15" x14ac:dyDescent="0.25"/>
  <cols>
    <col min="1" max="1" width="83.85546875" style="39" customWidth="1"/>
  </cols>
  <sheetData>
    <row r="2" spans="1:1" x14ac:dyDescent="0.25">
      <c r="A2" s="62" t="s">
        <v>83</v>
      </c>
    </row>
    <row r="15" spans="1:1" ht="36" x14ac:dyDescent="0.25">
      <c r="A15" s="40" t="s">
        <v>49</v>
      </c>
    </row>
    <row r="19" spans="1:1" ht="18.75" x14ac:dyDescent="0.3">
      <c r="A19" s="37" t="s">
        <v>48</v>
      </c>
    </row>
    <row r="21" spans="1:1" ht="18.75" x14ac:dyDescent="0.3">
      <c r="A21" s="37" t="s">
        <v>67</v>
      </c>
    </row>
    <row r="46" spans="1:1" x14ac:dyDescent="0.25">
      <c r="A46" s="38" t="s">
        <v>47</v>
      </c>
    </row>
    <row r="47" spans="1:1" x14ac:dyDescent="0.25">
      <c r="A47" s="39" t="s">
        <v>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7336-56D4-428C-90FC-2CBCA6B8D916}">
  <sheetPr>
    <tabColor theme="8" tint="0.59999389629810485"/>
    <pageSetUpPr fitToPage="1"/>
  </sheetPr>
  <dimension ref="A1:BN26"/>
  <sheetViews>
    <sheetView tabSelected="1" topLeftCell="G1" zoomScale="80" zoomScaleNormal="80" workbookViewId="0">
      <selection activeCell="AH20" sqref="AH20:AM20"/>
    </sheetView>
  </sheetViews>
  <sheetFormatPr defaultColWidth="9.140625" defaultRowHeight="15" x14ac:dyDescent="0.25"/>
  <cols>
    <col min="1" max="1" width="13" style="16" customWidth="1"/>
    <col min="2" max="2" width="10.28515625" style="16" customWidth="1"/>
    <col min="3" max="3" width="10" style="16" customWidth="1"/>
    <col min="4" max="4" width="9.28515625" style="16" customWidth="1"/>
    <col min="5" max="5" width="10.42578125" style="16" customWidth="1"/>
    <col min="6" max="7" width="9.42578125" style="16" customWidth="1"/>
    <col min="8" max="8" width="10.140625" style="16" customWidth="1"/>
    <col min="9" max="9" width="10" style="16" customWidth="1"/>
    <col min="10" max="14" width="8.7109375" style="16" customWidth="1"/>
    <col min="15" max="15" width="10.5703125" style="16" customWidth="1"/>
    <col min="16" max="21" width="9.28515625" style="16" customWidth="1"/>
    <col min="22" max="22" width="10" style="16" customWidth="1"/>
    <col min="23" max="23" width="10.28515625" style="16" customWidth="1"/>
    <col min="24" max="27" width="9.28515625" style="16" customWidth="1"/>
    <col min="28" max="29" width="10.140625" style="16" customWidth="1"/>
    <col min="30" max="31" width="10.28515625" style="16" customWidth="1"/>
    <col min="32" max="32" width="10.42578125" style="16" customWidth="1"/>
    <col min="33" max="34" width="10.140625" style="16" customWidth="1"/>
    <col min="35" max="39" width="9" style="16" customWidth="1"/>
    <col min="40" max="40" width="16.140625" style="16" customWidth="1"/>
    <col min="41" max="41" width="9.140625" style="16"/>
    <col min="42" max="42" width="11.85546875" style="16" bestFit="1" customWidth="1"/>
    <col min="43" max="57" width="6" style="16" customWidth="1"/>
    <col min="58" max="16384" width="9.140625" style="16"/>
  </cols>
  <sheetData>
    <row r="1" spans="1:66" ht="18.75" x14ac:dyDescent="0.25">
      <c r="A1" s="65" t="s">
        <v>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</row>
    <row r="2" spans="1:66" ht="18.75" x14ac:dyDescent="0.25">
      <c r="A2" s="65" t="s">
        <v>54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</row>
    <row r="3" spans="1:66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</row>
    <row r="4" spans="1:66" s="14" customFormat="1" ht="15" customHeight="1" x14ac:dyDescent="0.25">
      <c r="A4" s="66"/>
      <c r="B4" s="1" t="s">
        <v>4</v>
      </c>
      <c r="C4" s="2" t="s">
        <v>5</v>
      </c>
      <c r="D4" s="2" t="s">
        <v>5</v>
      </c>
      <c r="E4" s="3" t="s">
        <v>6</v>
      </c>
      <c r="F4" s="3" t="s">
        <v>6</v>
      </c>
      <c r="G4" s="3" t="s">
        <v>6</v>
      </c>
      <c r="H4" s="4" t="s">
        <v>7</v>
      </c>
      <c r="I4" s="5" t="s">
        <v>8</v>
      </c>
      <c r="J4" s="5" t="s">
        <v>8</v>
      </c>
      <c r="K4" s="5" t="s">
        <v>8</v>
      </c>
      <c r="L4" s="5" t="s">
        <v>8</v>
      </c>
      <c r="M4" s="5" t="s">
        <v>8</v>
      </c>
      <c r="N4" s="5" t="s">
        <v>9</v>
      </c>
      <c r="O4" s="6" t="s">
        <v>9</v>
      </c>
      <c r="P4" s="7" t="s">
        <v>10</v>
      </c>
      <c r="Q4" s="7" t="s">
        <v>10</v>
      </c>
      <c r="R4" s="7" t="s">
        <v>10</v>
      </c>
      <c r="S4" s="7" t="s">
        <v>10</v>
      </c>
      <c r="T4" s="7" t="s">
        <v>10</v>
      </c>
      <c r="U4" s="7" t="s">
        <v>10</v>
      </c>
      <c r="V4" s="7" t="s">
        <v>10</v>
      </c>
      <c r="W4" s="8" t="s">
        <v>11</v>
      </c>
      <c r="X4" s="8" t="s">
        <v>11</v>
      </c>
      <c r="Y4" s="8" t="s">
        <v>11</v>
      </c>
      <c r="Z4" s="8" t="s">
        <v>11</v>
      </c>
      <c r="AA4" s="8" t="s">
        <v>11</v>
      </c>
      <c r="AB4" s="9" t="s">
        <v>12</v>
      </c>
      <c r="AC4" s="10" t="s">
        <v>13</v>
      </c>
      <c r="AD4" s="11" t="s">
        <v>14</v>
      </c>
      <c r="AE4" s="50" t="s">
        <v>15</v>
      </c>
      <c r="AF4" s="12" t="s">
        <v>16</v>
      </c>
      <c r="AG4" s="12" t="s">
        <v>16</v>
      </c>
      <c r="AH4" s="13" t="s">
        <v>17</v>
      </c>
      <c r="AI4" s="13" t="s">
        <v>17</v>
      </c>
      <c r="AJ4" s="13" t="s">
        <v>17</v>
      </c>
      <c r="AK4" s="13" t="s">
        <v>17</v>
      </c>
      <c r="AL4" s="13" t="s">
        <v>17</v>
      </c>
      <c r="AM4" s="13" t="s">
        <v>17</v>
      </c>
      <c r="AN4" s="64" t="s">
        <v>82</v>
      </c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</row>
    <row r="5" spans="1:66" s="14" customFormat="1" ht="71.25" customHeight="1" x14ac:dyDescent="0.25">
      <c r="A5" s="66"/>
      <c r="B5" s="54" t="s">
        <v>18</v>
      </c>
      <c r="C5" s="54" t="s">
        <v>19</v>
      </c>
      <c r="D5" s="54" t="s">
        <v>19</v>
      </c>
      <c r="E5" s="54" t="s">
        <v>2</v>
      </c>
      <c r="F5" s="54" t="s">
        <v>2</v>
      </c>
      <c r="G5" s="54" t="s">
        <v>2</v>
      </c>
      <c r="H5" s="54" t="s">
        <v>3</v>
      </c>
      <c r="I5" s="54" t="s">
        <v>20</v>
      </c>
      <c r="J5" s="54" t="s">
        <v>20</v>
      </c>
      <c r="K5" s="54" t="s">
        <v>20</v>
      </c>
      <c r="L5" s="54" t="s">
        <v>20</v>
      </c>
      <c r="M5" s="54" t="s">
        <v>20</v>
      </c>
      <c r="N5" s="54" t="s">
        <v>20</v>
      </c>
      <c r="O5" s="54" t="s">
        <v>21</v>
      </c>
      <c r="P5" s="54" t="s">
        <v>22</v>
      </c>
      <c r="Q5" s="54" t="s">
        <v>22</v>
      </c>
      <c r="R5" s="54" t="s">
        <v>22</v>
      </c>
      <c r="S5" s="54" t="s">
        <v>22</v>
      </c>
      <c r="T5" s="54" t="s">
        <v>22</v>
      </c>
      <c r="U5" s="54" t="s">
        <v>22</v>
      </c>
      <c r="V5" s="54" t="s">
        <v>22</v>
      </c>
      <c r="W5" s="54" t="s">
        <v>29</v>
      </c>
      <c r="X5" s="54" t="s">
        <v>29</v>
      </c>
      <c r="Y5" s="54" t="s">
        <v>29</v>
      </c>
      <c r="Z5" s="54" t="s">
        <v>29</v>
      </c>
      <c r="AA5" s="54" t="s">
        <v>29</v>
      </c>
      <c r="AB5" s="54" t="s">
        <v>23</v>
      </c>
      <c r="AC5" s="54" t="s">
        <v>24</v>
      </c>
      <c r="AD5" s="54" t="s">
        <v>25</v>
      </c>
      <c r="AE5" s="54" t="s">
        <v>26</v>
      </c>
      <c r="AF5" s="54" t="s">
        <v>27</v>
      </c>
      <c r="AG5" s="54" t="s">
        <v>27</v>
      </c>
      <c r="AH5" s="54" t="s">
        <v>30</v>
      </c>
      <c r="AI5" s="54" t="s">
        <v>30</v>
      </c>
      <c r="AJ5" s="54" t="s">
        <v>30</v>
      </c>
      <c r="AK5" s="54" t="s">
        <v>30</v>
      </c>
      <c r="AL5" s="54" t="s">
        <v>30</v>
      </c>
      <c r="AM5" s="54" t="s">
        <v>30</v>
      </c>
      <c r="AN5" s="64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</row>
    <row r="6" spans="1:66" s="14" customFormat="1" ht="81" customHeight="1" x14ac:dyDescent="0.25">
      <c r="A6" s="22"/>
      <c r="B6" s="44" t="s">
        <v>52</v>
      </c>
      <c r="C6" s="43" t="s">
        <v>52</v>
      </c>
      <c r="D6" s="55" t="s">
        <v>58</v>
      </c>
      <c r="E6" s="42" t="s">
        <v>56</v>
      </c>
      <c r="F6" s="42" t="s">
        <v>59</v>
      </c>
      <c r="G6" s="42" t="s">
        <v>60</v>
      </c>
      <c r="H6" s="45" t="s">
        <v>52</v>
      </c>
      <c r="I6" s="28" t="s">
        <v>52</v>
      </c>
      <c r="J6" s="28" t="s">
        <v>72</v>
      </c>
      <c r="K6" s="28" t="s">
        <v>71</v>
      </c>
      <c r="L6" s="28" t="s">
        <v>73</v>
      </c>
      <c r="M6" s="28" t="s">
        <v>74</v>
      </c>
      <c r="N6" s="28" t="s">
        <v>75</v>
      </c>
      <c r="O6" s="46" t="s">
        <v>52</v>
      </c>
      <c r="P6" s="30" t="s">
        <v>52</v>
      </c>
      <c r="Q6" s="30" t="s">
        <v>76</v>
      </c>
      <c r="R6" s="30" t="s">
        <v>77</v>
      </c>
      <c r="S6" s="30" t="s">
        <v>84</v>
      </c>
      <c r="T6" s="30" t="s">
        <v>79</v>
      </c>
      <c r="U6" s="30" t="s">
        <v>80</v>
      </c>
      <c r="V6" s="30" t="s">
        <v>78</v>
      </c>
      <c r="W6" s="32" t="s">
        <v>55</v>
      </c>
      <c r="X6" s="31" t="s">
        <v>39</v>
      </c>
      <c r="Y6" s="32" t="s">
        <v>44</v>
      </c>
      <c r="Z6" s="32" t="s">
        <v>42</v>
      </c>
      <c r="AA6" s="32" t="s">
        <v>43</v>
      </c>
      <c r="AB6" s="47" t="s">
        <v>52</v>
      </c>
      <c r="AC6" s="48" t="s">
        <v>52</v>
      </c>
      <c r="AD6" s="49" t="s">
        <v>52</v>
      </c>
      <c r="AE6" s="51" t="s">
        <v>52</v>
      </c>
      <c r="AF6" s="33" t="s">
        <v>45</v>
      </c>
      <c r="AG6" s="33" t="s">
        <v>46</v>
      </c>
      <c r="AH6" s="35" t="s">
        <v>64</v>
      </c>
      <c r="AI6" s="34" t="s">
        <v>39</v>
      </c>
      <c r="AJ6" s="34" t="s">
        <v>40</v>
      </c>
      <c r="AK6" s="34" t="s">
        <v>41</v>
      </c>
      <c r="AL6" s="34" t="s">
        <v>65</v>
      </c>
      <c r="AM6" s="34" t="s">
        <v>66</v>
      </c>
      <c r="AN6" s="59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66" s="14" customFormat="1" ht="15" customHeight="1" x14ac:dyDescent="0.25">
      <c r="A7" s="57" t="s">
        <v>69</v>
      </c>
      <c r="B7" s="44"/>
      <c r="C7" s="43"/>
      <c r="D7" s="55" t="s">
        <v>70</v>
      </c>
      <c r="E7" s="42"/>
      <c r="F7" s="42">
        <v>0.3</v>
      </c>
      <c r="G7" s="42">
        <v>0.25</v>
      </c>
      <c r="H7" s="45"/>
      <c r="I7" s="28"/>
      <c r="J7" s="28">
        <v>3.5</v>
      </c>
      <c r="K7" s="28">
        <v>4</v>
      </c>
      <c r="L7" s="28">
        <v>1.4</v>
      </c>
      <c r="M7" s="28">
        <v>2.5</v>
      </c>
      <c r="N7" s="28">
        <v>4.5</v>
      </c>
      <c r="O7" s="46"/>
      <c r="P7" s="30"/>
      <c r="Q7" s="30">
        <v>0.73</v>
      </c>
      <c r="R7" s="30">
        <v>0.93</v>
      </c>
      <c r="S7" s="30">
        <v>0.755</v>
      </c>
      <c r="T7" s="30">
        <v>1.5</v>
      </c>
      <c r="U7" s="30">
        <v>1.1499999999999999</v>
      </c>
      <c r="V7" s="30">
        <v>1.4</v>
      </c>
      <c r="W7" s="32"/>
      <c r="X7" s="31"/>
      <c r="Y7" s="32"/>
      <c r="Z7" s="32"/>
      <c r="AA7" s="32"/>
      <c r="AB7" s="47"/>
      <c r="AC7" s="48"/>
      <c r="AD7" s="49"/>
      <c r="AE7" s="51"/>
      <c r="AF7" s="33"/>
      <c r="AG7" s="33"/>
      <c r="AH7" s="35"/>
      <c r="AI7" s="34">
        <v>0.53</v>
      </c>
      <c r="AJ7" s="34">
        <v>1.26</v>
      </c>
      <c r="AK7" s="34">
        <v>1.33</v>
      </c>
      <c r="AL7" s="34">
        <v>1.08</v>
      </c>
      <c r="AM7" s="35">
        <v>1.08</v>
      </c>
      <c r="AN7" s="59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</row>
    <row r="8" spans="1:66" s="14" customFormat="1" ht="15" customHeight="1" x14ac:dyDescent="0.25">
      <c r="A8" s="57"/>
      <c r="B8" s="44"/>
      <c r="C8" s="43"/>
      <c r="D8" s="55"/>
      <c r="E8" s="42"/>
      <c r="F8" s="42"/>
      <c r="G8" s="42"/>
      <c r="H8" s="45"/>
      <c r="I8" s="28"/>
      <c r="J8" s="28"/>
      <c r="K8" s="28"/>
      <c r="L8" s="28"/>
      <c r="M8" s="28"/>
      <c r="N8" s="28"/>
      <c r="O8" s="46"/>
      <c r="P8" s="30"/>
      <c r="Q8" s="30"/>
      <c r="R8" s="30"/>
      <c r="S8" s="30"/>
      <c r="T8" s="30"/>
      <c r="U8" s="30"/>
      <c r="V8" s="30"/>
      <c r="W8" s="32"/>
      <c r="X8" s="31"/>
      <c r="Y8" s="32"/>
      <c r="Z8" s="32"/>
      <c r="AA8" s="32"/>
      <c r="AB8" s="47"/>
      <c r="AC8" s="48"/>
      <c r="AD8" s="49"/>
      <c r="AE8" s="51"/>
      <c r="AF8" s="33"/>
      <c r="AG8" s="33"/>
      <c r="AH8" s="35"/>
      <c r="AI8" s="34">
        <v>0.2</v>
      </c>
      <c r="AJ8" s="34">
        <v>1</v>
      </c>
      <c r="AK8" s="34">
        <v>1</v>
      </c>
      <c r="AL8" s="34">
        <v>1</v>
      </c>
      <c r="AM8" s="35">
        <v>1</v>
      </c>
      <c r="AN8" s="59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66" x14ac:dyDescent="0.25">
      <c r="A9" s="15" t="s">
        <v>1</v>
      </c>
      <c r="B9" s="17">
        <f>SUM(B10:B11)+B14</f>
        <v>9048.923455159751</v>
      </c>
      <c r="C9" s="17">
        <f>SUM(C10:C11)+C14</f>
        <v>10865.016498876405</v>
      </c>
      <c r="D9" s="17">
        <f>SUM(D10:D11)+D14</f>
        <v>6519.0098993258425</v>
      </c>
      <c r="E9" s="17">
        <f>SUM(E10:E11)+E14</f>
        <v>16188.355403636362</v>
      </c>
      <c r="F9" s="17">
        <f t="shared" ref="F9:G9" si="0">SUM(F10:F11)+F14</f>
        <v>4856.5066210909099</v>
      </c>
      <c r="G9" s="17">
        <f t="shared" si="0"/>
        <v>4047.0888509090905</v>
      </c>
      <c r="H9" s="17">
        <f t="shared" ref="H9:AE9" si="1">SUM(H10:H11)+H14</f>
        <v>5451.7869769696972</v>
      </c>
      <c r="I9" s="17">
        <f t="shared" si="1"/>
        <v>3396.0142439024389</v>
      </c>
      <c r="J9" s="17">
        <f>SUM(J10:J11)+J14</f>
        <v>11886.049853658538</v>
      </c>
      <c r="K9" s="17">
        <f>SUM(K10:K11)+K14</f>
        <v>13584.056975609756</v>
      </c>
      <c r="L9" s="17">
        <f>SUM(L10:L11)+L14</f>
        <v>4754.419941463414</v>
      </c>
      <c r="M9" s="17">
        <f>SUM(M10:M11)+M14</f>
        <v>8490.035609756098</v>
      </c>
      <c r="N9" s="17">
        <f>SUM(N10:N11)+N14</f>
        <v>15282.064097560975</v>
      </c>
      <c r="O9" s="29">
        <f t="shared" si="1"/>
        <v>4790.4832086486476</v>
      </c>
      <c r="P9" s="29">
        <f t="shared" si="1"/>
        <v>9561.5158054178009</v>
      </c>
      <c r="Q9" s="29">
        <f t="shared" ref="Q9:V9" si="2">SUM(Q10:Q11)+Q14</f>
        <v>6979.9065379549957</v>
      </c>
      <c r="R9" s="29">
        <f t="shared" si="2"/>
        <v>8892.2096990385544</v>
      </c>
      <c r="S9" s="29">
        <f t="shared" si="2"/>
        <v>7218.9444330904407</v>
      </c>
      <c r="T9" s="29">
        <f t="shared" si="2"/>
        <v>14342.273708126702</v>
      </c>
      <c r="U9" s="29">
        <f t="shared" si="2"/>
        <v>10995.74317623047</v>
      </c>
      <c r="V9" s="29">
        <f t="shared" si="2"/>
        <v>13386.12212758492</v>
      </c>
      <c r="W9" s="17">
        <f>SUM(W10:W11)+W14</f>
        <v>6140.1850980392155</v>
      </c>
      <c r="X9" s="58">
        <f t="shared" si="1"/>
        <v>4723.6808446455507</v>
      </c>
      <c r="Y9" s="17">
        <f t="shared" si="1"/>
        <v>10234.308496732026</v>
      </c>
      <c r="Z9" s="17">
        <f t="shared" si="1"/>
        <v>7676.2313725490185</v>
      </c>
      <c r="AA9" s="17">
        <f t="shared" si="1"/>
        <v>4094.1233986928105</v>
      </c>
      <c r="AB9" s="17">
        <f t="shared" si="1"/>
        <v>7145.8868779220793</v>
      </c>
      <c r="AC9" s="17">
        <f t="shared" si="1"/>
        <v>7483.675338666666</v>
      </c>
      <c r="AD9" s="17">
        <f t="shared" si="1"/>
        <v>5848.8242839029353</v>
      </c>
      <c r="AE9" s="17">
        <f t="shared" si="1"/>
        <v>5737.9740843556174</v>
      </c>
      <c r="AF9" s="17">
        <f>SUM(AF10:AF11)+AF14</f>
        <v>8692.7958254545447</v>
      </c>
      <c r="AG9" s="17">
        <f>SUM(AG10:AG11)+AG14</f>
        <v>9669.2738742350321</v>
      </c>
      <c r="AH9" s="17">
        <f t="shared" ref="AH9:AM9" si="3">SUM(AH10:AH11)+AH14</f>
        <v>8103.2127186009538</v>
      </c>
      <c r="AI9" s="17">
        <f t="shared" si="3"/>
        <v>3829.9455643879182</v>
      </c>
      <c r="AJ9" s="17">
        <f t="shared" si="3"/>
        <v>9824.9666136724954</v>
      </c>
      <c r="AK9" s="17">
        <f t="shared" si="3"/>
        <v>10288.515739268682</v>
      </c>
      <c r="AL9" s="17">
        <f t="shared" si="3"/>
        <v>8632.9831478537362</v>
      </c>
      <c r="AM9" s="17">
        <f t="shared" si="3"/>
        <v>8632.9831478537362</v>
      </c>
      <c r="AN9" s="61">
        <f>SUMIF(B9:AM9,"&gt;0")/COUNTIF(B9:AM9,"&gt;0")</f>
        <v>8349.8971987064433</v>
      </c>
      <c r="AO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</row>
    <row r="10" spans="1:66" x14ac:dyDescent="0.25">
      <c r="A10" s="15" t="s">
        <v>35</v>
      </c>
      <c r="B10" s="17">
        <f>B12+B13</f>
        <v>6698.0144326110913</v>
      </c>
      <c r="C10" s="17">
        <f t="shared" ref="C10" si="4">C12+C13</f>
        <v>8037.8460674157304</v>
      </c>
      <c r="D10" s="17">
        <f>D12+D13</f>
        <v>4822.7076404494383</v>
      </c>
      <c r="E10" s="17">
        <f>E12+E13</f>
        <v>11937.207272727272</v>
      </c>
      <c r="F10" s="17">
        <f t="shared" ref="F10:AM10" si="5">F12+F13</f>
        <v>3581.162181818182</v>
      </c>
      <c r="G10" s="17">
        <f t="shared" si="5"/>
        <v>2984.3018181818179</v>
      </c>
      <c r="H10" s="17">
        <f t="shared" si="5"/>
        <v>4015.4206060606061</v>
      </c>
      <c r="I10" s="17">
        <f t="shared" si="5"/>
        <v>2459.9512195121952</v>
      </c>
      <c r="J10" s="17">
        <f t="shared" si="5"/>
        <v>8609.829268292684</v>
      </c>
      <c r="K10" s="17">
        <f t="shared" si="5"/>
        <v>9839.8048780487807</v>
      </c>
      <c r="L10" s="17">
        <f t="shared" si="5"/>
        <v>3443.9317073170728</v>
      </c>
      <c r="M10" s="17">
        <f t="shared" si="5"/>
        <v>6149.8780487804879</v>
      </c>
      <c r="N10" s="17">
        <f>N12+N13</f>
        <v>11069.780487804877</v>
      </c>
      <c r="O10" s="29">
        <f t="shared" si="5"/>
        <v>3509.2605405405402</v>
      </c>
      <c r="P10" s="29">
        <f t="shared" si="5"/>
        <v>7084.9523779063811</v>
      </c>
      <c r="Q10" s="29">
        <f t="shared" si="5"/>
        <v>5172.0152358716587</v>
      </c>
      <c r="R10" s="29">
        <f t="shared" si="5"/>
        <v>6589.0057114529345</v>
      </c>
      <c r="S10" s="29">
        <f t="shared" si="5"/>
        <v>5349.139045319318</v>
      </c>
      <c r="T10" s="29">
        <f t="shared" si="5"/>
        <v>10627.428566859571</v>
      </c>
      <c r="U10" s="29">
        <f t="shared" si="5"/>
        <v>8147.6952345923373</v>
      </c>
      <c r="V10" s="29">
        <f t="shared" si="5"/>
        <v>9918.9333290689319</v>
      </c>
      <c r="W10" s="17">
        <f t="shared" si="5"/>
        <v>4495.6862745098042</v>
      </c>
      <c r="X10" s="17">
        <f t="shared" si="5"/>
        <v>3458.2202111613879</v>
      </c>
      <c r="Y10" s="17">
        <f t="shared" si="5"/>
        <v>7492.8104575163397</v>
      </c>
      <c r="Z10" s="17">
        <f t="shared" si="5"/>
        <v>5619.6078431372543</v>
      </c>
      <c r="AA10" s="17">
        <f t="shared" si="5"/>
        <v>2997.124183006536</v>
      </c>
      <c r="AB10" s="17">
        <f t="shared" si="5"/>
        <v>5241.7558441558449</v>
      </c>
      <c r="AC10" s="17">
        <f t="shared" si="5"/>
        <v>5520.5306666666665</v>
      </c>
      <c r="AD10" s="17">
        <f t="shared" si="5"/>
        <v>4338.89041832562</v>
      </c>
      <c r="AE10" s="17">
        <f t="shared" si="5"/>
        <v>4232.1766204418527</v>
      </c>
      <c r="AF10" s="17">
        <f t="shared" si="5"/>
        <v>6331.4509090909087</v>
      </c>
      <c r="AG10" s="17">
        <f t="shared" si="5"/>
        <v>7055.8411529933474</v>
      </c>
      <c r="AH10" s="17">
        <f t="shared" si="5"/>
        <v>5989.0302066772656</v>
      </c>
      <c r="AI10" s="17">
        <f t="shared" si="5"/>
        <v>2818.9507154213043</v>
      </c>
      <c r="AJ10" s="17">
        <f t="shared" si="5"/>
        <v>7266.295707472178</v>
      </c>
      <c r="AK10" s="17">
        <f t="shared" si="5"/>
        <v>7610.1748807631175</v>
      </c>
      <c r="AL10" s="17">
        <f t="shared" si="5"/>
        <v>6382.0349761526231</v>
      </c>
      <c r="AM10" s="17">
        <f t="shared" si="5"/>
        <v>6382.0349761526231</v>
      </c>
      <c r="AN10" s="61">
        <f t="shared" ref="AN10:AN17" si="6">SUMIF(B10:AM10,"&gt;0")/COUNTIF(B10:AM10,"&gt;0")</f>
        <v>6138.9705714283309</v>
      </c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</row>
    <row r="11" spans="1:66" x14ac:dyDescent="0.25">
      <c r="A11" s="15" t="s">
        <v>0</v>
      </c>
      <c r="B11" s="17">
        <f>IFERROR($B$26*B10,"x")</f>
        <v>2330.9090225486598</v>
      </c>
      <c r="C11" s="17">
        <f t="shared" ref="C11:AM11" si="7">IFERROR($B$26*C10,"x")</f>
        <v>2797.1704314606741</v>
      </c>
      <c r="D11" s="17">
        <f t="shared" si="7"/>
        <v>1678.3022588764045</v>
      </c>
      <c r="E11" s="17">
        <f t="shared" si="7"/>
        <v>4154.1481309090905</v>
      </c>
      <c r="F11" s="17">
        <f t="shared" si="7"/>
        <v>1246.2444392727273</v>
      </c>
      <c r="G11" s="17">
        <f t="shared" si="7"/>
        <v>1038.5370327272726</v>
      </c>
      <c r="H11" s="17">
        <f t="shared" si="7"/>
        <v>1397.3663709090908</v>
      </c>
      <c r="I11" s="17">
        <f t="shared" si="7"/>
        <v>856.06302439024387</v>
      </c>
      <c r="J11" s="17">
        <f t="shared" si="7"/>
        <v>2996.2205853658538</v>
      </c>
      <c r="K11" s="17">
        <f t="shared" si="7"/>
        <v>3424.2520975609755</v>
      </c>
      <c r="L11" s="17">
        <f t="shared" si="7"/>
        <v>1198.4882341463413</v>
      </c>
      <c r="M11" s="17">
        <f t="shared" si="7"/>
        <v>2140.1575609756096</v>
      </c>
      <c r="N11" s="17">
        <f>IFERROR($B$26*N10,"x")</f>
        <v>3852.2836097560971</v>
      </c>
      <c r="O11" s="17">
        <f t="shared" si="7"/>
        <v>1221.2226681081079</v>
      </c>
      <c r="P11" s="17">
        <f t="shared" si="7"/>
        <v>2465.5634275114203</v>
      </c>
      <c r="Q11" s="17">
        <f t="shared" si="7"/>
        <v>1799.861302083337</v>
      </c>
      <c r="R11" s="17">
        <f t="shared" si="7"/>
        <v>2292.9739875856212</v>
      </c>
      <c r="S11" s="17">
        <f t="shared" si="7"/>
        <v>1861.5003877711226</v>
      </c>
      <c r="T11" s="17">
        <f t="shared" si="7"/>
        <v>3698.3451412671307</v>
      </c>
      <c r="U11" s="17">
        <f t="shared" si="7"/>
        <v>2835.397941638133</v>
      </c>
      <c r="V11" s="17">
        <f t="shared" si="7"/>
        <v>3451.7887985159882</v>
      </c>
      <c r="W11" s="17">
        <f t="shared" si="7"/>
        <v>1564.4988235294118</v>
      </c>
      <c r="X11" s="17">
        <f t="shared" si="7"/>
        <v>1203.4606334841628</v>
      </c>
      <c r="Y11" s="17">
        <f t="shared" si="7"/>
        <v>2607.4980392156863</v>
      </c>
      <c r="Z11" s="17">
        <f t="shared" si="7"/>
        <v>1955.6235294117644</v>
      </c>
      <c r="AA11" s="17">
        <f t="shared" si="7"/>
        <v>1042.9992156862745</v>
      </c>
      <c r="AB11" s="17">
        <f t="shared" si="7"/>
        <v>1824.1310337662339</v>
      </c>
      <c r="AC11" s="17">
        <f t="shared" si="7"/>
        <v>1921.1446719999999</v>
      </c>
      <c r="AD11" s="17">
        <f t="shared" si="7"/>
        <v>1509.9338655773156</v>
      </c>
      <c r="AE11" s="17">
        <f t="shared" si="7"/>
        <v>1472.7974639137647</v>
      </c>
      <c r="AF11" s="17">
        <f t="shared" si="7"/>
        <v>2203.344916363636</v>
      </c>
      <c r="AG11" s="17">
        <f t="shared" si="7"/>
        <v>2455.4327212416847</v>
      </c>
      <c r="AH11" s="17">
        <f t="shared" si="7"/>
        <v>2084.1825119236883</v>
      </c>
      <c r="AI11" s="17">
        <f t="shared" si="7"/>
        <v>980.99484896661386</v>
      </c>
      <c r="AJ11" s="17">
        <f t="shared" si="7"/>
        <v>2528.6709062003179</v>
      </c>
      <c r="AK11" s="17">
        <f t="shared" si="7"/>
        <v>2648.3408585055645</v>
      </c>
      <c r="AL11" s="17">
        <f t="shared" si="7"/>
        <v>2220.9481717011126</v>
      </c>
      <c r="AM11" s="17">
        <f t="shared" si="7"/>
        <v>2220.9481717011126</v>
      </c>
      <c r="AN11" s="61">
        <f t="shared" si="6"/>
        <v>2136.3617588570592</v>
      </c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</row>
    <row r="12" spans="1:66" x14ac:dyDescent="0.25">
      <c r="A12" s="15" t="s">
        <v>36</v>
      </c>
      <c r="B12" s="17">
        <f>IFERROR(12*B16/B15,"x")</f>
        <v>5159.4858611825193</v>
      </c>
      <c r="C12" s="17">
        <f>IFERROR(12*C16/C15,"x")</f>
        <v>7619.1</v>
      </c>
      <c r="D12" s="17">
        <f>IFERROR(12*D16/D15,"x")</f>
        <v>4571.46</v>
      </c>
      <c r="E12" s="17">
        <f>IFERROR(12*E16/E15,"x")</f>
        <v>10556.727272727272</v>
      </c>
      <c r="F12" s="17">
        <f t="shared" ref="F12:AM12" si="8">IFERROR(12*F16/F15,"x")</f>
        <v>3167.0181818181818</v>
      </c>
      <c r="G12" s="17">
        <f t="shared" si="8"/>
        <v>2639.181818181818</v>
      </c>
      <c r="H12" s="17">
        <f t="shared" si="8"/>
        <v>3531.1272727272726</v>
      </c>
      <c r="I12" s="17">
        <f t="shared" si="8"/>
        <v>1988</v>
      </c>
      <c r="J12" s="17">
        <f t="shared" si="8"/>
        <v>6958.0000000000009</v>
      </c>
      <c r="K12" s="17">
        <f t="shared" si="8"/>
        <v>7952</v>
      </c>
      <c r="L12" s="17">
        <f t="shared" si="8"/>
        <v>2783.2</v>
      </c>
      <c r="M12" s="17">
        <f t="shared" si="8"/>
        <v>4970</v>
      </c>
      <c r="N12" s="17">
        <f t="shared" ref="N12" si="9">IFERROR(12*N16/N15,"x")</f>
        <v>8946</v>
      </c>
      <c r="O12" s="29">
        <f t="shared" si="8"/>
        <v>3074.1405405405403</v>
      </c>
      <c r="P12" s="29">
        <f t="shared" si="8"/>
        <v>6333.0242416214069</v>
      </c>
      <c r="Q12" s="29">
        <f t="shared" si="8"/>
        <v>4623.1076963836276</v>
      </c>
      <c r="R12" s="29">
        <f t="shared" si="8"/>
        <v>5889.7125447079088</v>
      </c>
      <c r="S12" s="29">
        <f t="shared" si="8"/>
        <v>4781.4333024241623</v>
      </c>
      <c r="T12" s="29">
        <f t="shared" si="8"/>
        <v>9499.5363624321108</v>
      </c>
      <c r="U12" s="29">
        <f t="shared" si="8"/>
        <v>7282.9778778646169</v>
      </c>
      <c r="V12" s="29">
        <f t="shared" si="8"/>
        <v>8866.2339382699683</v>
      </c>
      <c r="W12" s="17">
        <f t="shared" si="8"/>
        <v>3910.0392156862745</v>
      </c>
      <c r="X12" s="17">
        <f t="shared" si="8"/>
        <v>3007.7224736048265</v>
      </c>
      <c r="Y12" s="17">
        <f t="shared" si="8"/>
        <v>6516.7320261437908</v>
      </c>
      <c r="Z12" s="17">
        <f t="shared" si="8"/>
        <v>4887.5490196078426</v>
      </c>
      <c r="AA12" s="17">
        <f t="shared" si="8"/>
        <v>2606.6928104575163</v>
      </c>
      <c r="AB12" s="17">
        <f t="shared" si="8"/>
        <v>4676.727272727273</v>
      </c>
      <c r="AC12" s="17">
        <f t="shared" si="8"/>
        <v>5069.6639999999998</v>
      </c>
      <c r="AD12" s="17">
        <f t="shared" si="8"/>
        <v>4269.2925089179544</v>
      </c>
      <c r="AE12" s="17">
        <f t="shared" si="8"/>
        <v>3779.8315224026373</v>
      </c>
      <c r="AF12" s="17">
        <f t="shared" si="8"/>
        <v>5940</v>
      </c>
      <c r="AG12" s="17">
        <f t="shared" si="8"/>
        <v>6664.3902439024387</v>
      </c>
      <c r="AH12" s="17">
        <f t="shared" si="8"/>
        <v>4912.5596184419719</v>
      </c>
      <c r="AI12" s="17">
        <f t="shared" si="8"/>
        <v>2603.6565977742453</v>
      </c>
      <c r="AJ12" s="17">
        <f t="shared" si="8"/>
        <v>6189.8251192368843</v>
      </c>
      <c r="AK12" s="17">
        <f t="shared" si="8"/>
        <v>6533.7042925278229</v>
      </c>
      <c r="AL12" s="17">
        <f t="shared" si="8"/>
        <v>5305.5643879173294</v>
      </c>
      <c r="AM12" s="17">
        <f t="shared" si="8"/>
        <v>5305.5643879173294</v>
      </c>
      <c r="AN12" s="61">
        <f t="shared" si="6"/>
        <v>5351.8679581091455</v>
      </c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</row>
    <row r="13" spans="1:66" x14ac:dyDescent="0.25">
      <c r="A13" s="15" t="s">
        <v>37</v>
      </c>
      <c r="B13" s="17">
        <f>IFERROR(12*B18/B17,"x")</f>
        <v>1538.5285714285715</v>
      </c>
      <c r="C13" s="21">
        <f>IFERROR(12*C18/C17,"x")</f>
        <v>418.74606741573035</v>
      </c>
      <c r="D13" s="21">
        <f>IFERROR(12*D18/D17,"x")</f>
        <v>251.24764044943817</v>
      </c>
      <c r="E13" s="17">
        <f>IFERROR(12*E18/E17,"x")</f>
        <v>1380.48</v>
      </c>
      <c r="F13" s="17">
        <f t="shared" ref="F13:AM13" si="10">IFERROR(12*F18/F17,"x")</f>
        <v>414.14400000000001</v>
      </c>
      <c r="G13" s="17">
        <f t="shared" si="10"/>
        <v>345.12</v>
      </c>
      <c r="H13" s="17">
        <f t="shared" si="10"/>
        <v>484.29333333333335</v>
      </c>
      <c r="I13" s="17">
        <f t="shared" si="10"/>
        <v>471.95121951219511</v>
      </c>
      <c r="J13" s="17">
        <f t="shared" si="10"/>
        <v>1651.8292682926831</v>
      </c>
      <c r="K13" s="17">
        <f t="shared" si="10"/>
        <v>1887.8048780487804</v>
      </c>
      <c r="L13" s="17">
        <f t="shared" si="10"/>
        <v>660.73170731707307</v>
      </c>
      <c r="M13" s="17">
        <f t="shared" si="10"/>
        <v>1179.8780487804879</v>
      </c>
      <c r="N13" s="17">
        <f t="shared" ref="N13" si="11">IFERROR(12*N18/N17,"x")</f>
        <v>2123.7804878048778</v>
      </c>
      <c r="O13" s="29">
        <f t="shared" si="10"/>
        <v>435.12</v>
      </c>
      <c r="P13" s="29">
        <f t="shared" si="10"/>
        <v>751.92813628497402</v>
      </c>
      <c r="Q13" s="29">
        <f t="shared" si="10"/>
        <v>548.90753948803103</v>
      </c>
      <c r="R13" s="29">
        <f t="shared" si="10"/>
        <v>699.29316674502593</v>
      </c>
      <c r="S13" s="29">
        <f t="shared" si="10"/>
        <v>567.70574289515548</v>
      </c>
      <c r="T13" s="29">
        <f t="shared" si="10"/>
        <v>1127.8922044274611</v>
      </c>
      <c r="U13" s="29">
        <f t="shared" si="10"/>
        <v>864.71735672772013</v>
      </c>
      <c r="V13" s="29">
        <f t="shared" si="10"/>
        <v>1052.6993907989636</v>
      </c>
      <c r="W13" s="17">
        <f t="shared" si="10"/>
        <v>585.64705882352939</v>
      </c>
      <c r="X13" s="17">
        <f t="shared" si="10"/>
        <v>450.49773755656111</v>
      </c>
      <c r="Y13" s="17">
        <f t="shared" si="10"/>
        <v>976.07843137254895</v>
      </c>
      <c r="Z13" s="17">
        <f t="shared" si="10"/>
        <v>732.05882352941182</v>
      </c>
      <c r="AA13" s="17">
        <f t="shared" si="10"/>
        <v>390.43137254901961</v>
      </c>
      <c r="AB13" s="17">
        <f t="shared" si="10"/>
        <v>565.02857142857147</v>
      </c>
      <c r="AC13" s="17">
        <f t="shared" si="10"/>
        <v>450.86666666666667</v>
      </c>
      <c r="AD13" s="17">
        <f t="shared" si="10"/>
        <v>69.597909407665512</v>
      </c>
      <c r="AE13" s="17">
        <f t="shared" si="10"/>
        <v>452.34509803921571</v>
      </c>
      <c r="AF13" s="17">
        <f t="shared" si="10"/>
        <v>391.45090909090908</v>
      </c>
      <c r="AG13" s="17">
        <f t="shared" si="10"/>
        <v>391.45090909090908</v>
      </c>
      <c r="AH13" s="17">
        <f t="shared" si="10"/>
        <v>1076.4705882352941</v>
      </c>
      <c r="AI13" s="17">
        <f t="shared" si="10"/>
        <v>215.29411764705881</v>
      </c>
      <c r="AJ13" s="17">
        <f t="shared" si="10"/>
        <v>1076.4705882352941</v>
      </c>
      <c r="AK13" s="17">
        <f t="shared" si="10"/>
        <v>1076.4705882352941</v>
      </c>
      <c r="AL13" s="17">
        <f t="shared" si="10"/>
        <v>1076.4705882352941</v>
      </c>
      <c r="AM13" s="17">
        <f t="shared" si="10"/>
        <v>1076.4705882352941</v>
      </c>
      <c r="AN13" s="61">
        <f t="shared" si="6"/>
        <v>787.10261331918514</v>
      </c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</row>
    <row r="14" spans="1:66" x14ac:dyDescent="0.25">
      <c r="A14" s="15" t="s">
        <v>28</v>
      </c>
      <c r="B14" s="17">
        <v>20</v>
      </c>
      <c r="C14" s="21">
        <v>30</v>
      </c>
      <c r="D14" s="21">
        <f>C14*$D$7</f>
        <v>18</v>
      </c>
      <c r="E14" s="17">
        <v>97</v>
      </c>
      <c r="F14" s="17">
        <f>E14*$F$7</f>
        <v>29.099999999999998</v>
      </c>
      <c r="G14" s="17">
        <f>E14*$G$7</f>
        <v>24.25</v>
      </c>
      <c r="H14" s="17">
        <v>39</v>
      </c>
      <c r="I14" s="17">
        <v>80</v>
      </c>
      <c r="J14" s="17">
        <f>I14*$J$7</f>
        <v>280</v>
      </c>
      <c r="K14" s="17">
        <f>I14*$K$7</f>
        <v>320</v>
      </c>
      <c r="L14" s="17">
        <f>I14*$L$7</f>
        <v>112</v>
      </c>
      <c r="M14" s="17">
        <f>I14*$M$7</f>
        <v>200</v>
      </c>
      <c r="N14" s="17">
        <f>I14*$N$7</f>
        <v>360</v>
      </c>
      <c r="O14" s="17">
        <v>60</v>
      </c>
      <c r="P14" s="17">
        <v>11</v>
      </c>
      <c r="Q14" s="17">
        <f>P14*$Q$7</f>
        <v>8.0299999999999994</v>
      </c>
      <c r="R14" s="17">
        <f>P14*$R$7</f>
        <v>10.23</v>
      </c>
      <c r="S14" s="17">
        <f>P14*$S$7</f>
        <v>8.3049999999999997</v>
      </c>
      <c r="T14" s="17">
        <f>P14*$T$7</f>
        <v>16.5</v>
      </c>
      <c r="U14" s="17">
        <f>P14*$U$7</f>
        <v>12.649999999999999</v>
      </c>
      <c r="V14" s="17">
        <f>P14*$V$7</f>
        <v>15.399999999999999</v>
      </c>
      <c r="W14" s="17">
        <v>80</v>
      </c>
      <c r="X14" s="17">
        <v>62</v>
      </c>
      <c r="Y14" s="17">
        <v>134</v>
      </c>
      <c r="Z14" s="17">
        <v>101</v>
      </c>
      <c r="AA14" s="17">
        <v>54</v>
      </c>
      <c r="AB14" s="17">
        <v>80</v>
      </c>
      <c r="AC14" s="17">
        <v>42</v>
      </c>
      <c r="AD14" s="17">
        <v>0</v>
      </c>
      <c r="AE14" s="17">
        <v>33</v>
      </c>
      <c r="AF14" s="17">
        <v>158</v>
      </c>
      <c r="AG14" s="17">
        <v>158</v>
      </c>
      <c r="AH14" s="17">
        <v>30</v>
      </c>
      <c r="AI14" s="17">
        <v>30</v>
      </c>
      <c r="AJ14" s="17">
        <v>30</v>
      </c>
      <c r="AK14" s="17">
        <v>30</v>
      </c>
      <c r="AL14" s="17">
        <v>30</v>
      </c>
      <c r="AM14" s="17">
        <v>30</v>
      </c>
      <c r="AN14" s="61">
        <f t="shared" si="6"/>
        <v>76.580135135135137</v>
      </c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</row>
    <row r="15" spans="1:66" s="18" customFormat="1" ht="15" customHeight="1" x14ac:dyDescent="0.25">
      <c r="A15" s="15" t="s">
        <v>31</v>
      </c>
      <c r="B15" s="24">
        <v>116.7</v>
      </c>
      <c r="C15" s="25">
        <v>80</v>
      </c>
      <c r="D15" s="25">
        <f>C15/$D$7</f>
        <v>133.33333333333334</v>
      </c>
      <c r="E15" s="24">
        <v>55</v>
      </c>
      <c r="F15" s="24">
        <f>E15/$F$7</f>
        <v>183.33333333333334</v>
      </c>
      <c r="G15" s="24">
        <f>E15/$G$7</f>
        <v>220</v>
      </c>
      <c r="H15" s="24">
        <v>165</v>
      </c>
      <c r="I15" s="24">
        <v>300</v>
      </c>
      <c r="J15" s="24">
        <f>I15/$J$7</f>
        <v>85.714285714285708</v>
      </c>
      <c r="K15" s="24">
        <f>I15/$K$7</f>
        <v>75</v>
      </c>
      <c r="L15" s="24">
        <f>I15/$L$7</f>
        <v>214.28571428571431</v>
      </c>
      <c r="M15" s="24">
        <f>I15/$M$7</f>
        <v>120</v>
      </c>
      <c r="N15" s="24">
        <f>I15/$N$7</f>
        <v>66.666666666666671</v>
      </c>
      <c r="O15" s="24">
        <v>185</v>
      </c>
      <c r="P15" s="24">
        <v>98.137</v>
      </c>
      <c r="Q15" s="26">
        <f>P15/$Q$7</f>
        <v>134.43424657534246</v>
      </c>
      <c r="R15" s="26">
        <f>P15/$R$7</f>
        <v>105.52365591397849</v>
      </c>
      <c r="S15" s="26">
        <f>P15/$S$7</f>
        <v>129.98278145695363</v>
      </c>
      <c r="T15" s="26">
        <f>P15/$T$7</f>
        <v>65.424666666666667</v>
      </c>
      <c r="U15" s="26">
        <f>P15/$U$7</f>
        <v>85.336521739130447</v>
      </c>
      <c r="V15" s="26">
        <f>P15/$V$7</f>
        <v>70.097857142857151</v>
      </c>
      <c r="W15" s="24">
        <v>153</v>
      </c>
      <c r="X15" s="24">
        <v>198.9</v>
      </c>
      <c r="Y15" s="24">
        <v>91.8</v>
      </c>
      <c r="Z15" s="24">
        <v>122.4</v>
      </c>
      <c r="AA15" s="24">
        <v>229.5</v>
      </c>
      <c r="AB15" s="24">
        <v>132</v>
      </c>
      <c r="AC15" s="24">
        <v>125</v>
      </c>
      <c r="AD15" s="24">
        <v>134.56</v>
      </c>
      <c r="AE15" s="24">
        <v>163.82</v>
      </c>
      <c r="AF15" s="27">
        <v>92</v>
      </c>
      <c r="AG15" s="27">
        <v>82</v>
      </c>
      <c r="AH15" s="26">
        <v>125.8</v>
      </c>
      <c r="AI15" s="24">
        <f>$AH$15/$AI$7</f>
        <v>237.35849056603772</v>
      </c>
      <c r="AJ15" s="24">
        <f>$AH$15/$AJ$7</f>
        <v>99.841269841269835</v>
      </c>
      <c r="AK15" s="24">
        <f>$AH$15/$AK$7</f>
        <v>94.586466165413526</v>
      </c>
      <c r="AL15" s="24">
        <f>$AH$15/$AL$7</f>
        <v>116.48148148148147</v>
      </c>
      <c r="AM15" s="24">
        <f>$AH$15/$AM$7</f>
        <v>116.48148148148147</v>
      </c>
      <c r="AN15" s="61">
        <f t="shared" si="6"/>
        <v>131.69734874641964</v>
      </c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</row>
    <row r="16" spans="1:66" x14ac:dyDescent="0.25">
      <c r="A16" s="15" t="s">
        <v>32</v>
      </c>
      <c r="B16" s="17">
        <v>50176</v>
      </c>
      <c r="C16" s="21">
        <v>50794</v>
      </c>
      <c r="D16" s="21">
        <v>50794</v>
      </c>
      <c r="E16" s="17">
        <v>48385</v>
      </c>
      <c r="F16" s="17">
        <f>E16</f>
        <v>48385</v>
      </c>
      <c r="G16" s="17">
        <f>E16</f>
        <v>48385</v>
      </c>
      <c r="H16" s="17">
        <v>48553</v>
      </c>
      <c r="I16" s="17">
        <v>49700</v>
      </c>
      <c r="J16" s="17">
        <f>I16</f>
        <v>49700</v>
      </c>
      <c r="K16" s="17">
        <f>I16</f>
        <v>49700</v>
      </c>
      <c r="L16" s="17">
        <f>I16</f>
        <v>49700</v>
      </c>
      <c r="M16" s="17">
        <f>I16</f>
        <v>49700</v>
      </c>
      <c r="N16" s="17">
        <f>I16</f>
        <v>49700</v>
      </c>
      <c r="O16" s="17">
        <v>47393</v>
      </c>
      <c r="P16" s="17">
        <v>51792</v>
      </c>
      <c r="Q16" s="17">
        <f>P16</f>
        <v>51792</v>
      </c>
      <c r="R16" s="17">
        <f>P16</f>
        <v>51792</v>
      </c>
      <c r="S16" s="17">
        <f>P16</f>
        <v>51792</v>
      </c>
      <c r="T16" s="17">
        <f>P16</f>
        <v>51792</v>
      </c>
      <c r="U16" s="17">
        <f>P16</f>
        <v>51792</v>
      </c>
      <c r="V16" s="17">
        <f>P16</f>
        <v>51792</v>
      </c>
      <c r="W16" s="17">
        <v>49853</v>
      </c>
      <c r="X16" s="17">
        <v>49853</v>
      </c>
      <c r="Y16" s="17">
        <v>49853</v>
      </c>
      <c r="Z16" s="17">
        <v>49853</v>
      </c>
      <c r="AA16" s="17">
        <v>49853</v>
      </c>
      <c r="AB16" s="17">
        <v>51444</v>
      </c>
      <c r="AC16" s="17">
        <v>52809</v>
      </c>
      <c r="AD16" s="17">
        <f>41483+6390</f>
        <v>47873</v>
      </c>
      <c r="AE16" s="17">
        <v>51601</v>
      </c>
      <c r="AF16" s="21">
        <v>45540</v>
      </c>
      <c r="AG16" s="21">
        <f>AF16</f>
        <v>45540</v>
      </c>
      <c r="AH16" s="17">
        <v>51500</v>
      </c>
      <c r="AI16" s="17">
        <f>AH16</f>
        <v>51500</v>
      </c>
      <c r="AJ16" s="17">
        <f>AH16</f>
        <v>51500</v>
      </c>
      <c r="AK16" s="17">
        <f>AH16</f>
        <v>51500</v>
      </c>
      <c r="AL16" s="17">
        <f>AH16</f>
        <v>51500</v>
      </c>
      <c r="AM16" s="17">
        <f>AH16</f>
        <v>51500</v>
      </c>
      <c r="AN16" s="63">
        <f>ROUND((B16+C16+E16+H16+I16+O16+P16+W16+AB16+AC16+AD16+AE16+AF16+AH16)/14,1)</f>
        <v>49815.199999999997</v>
      </c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</row>
    <row r="17" spans="1:66" x14ac:dyDescent="0.25">
      <c r="A17" s="15" t="s">
        <v>33</v>
      </c>
      <c r="B17" s="24">
        <v>280</v>
      </c>
      <c r="C17" s="25">
        <v>890</v>
      </c>
      <c r="D17" s="25">
        <f>C17/$D$7</f>
        <v>1483.3333333333335</v>
      </c>
      <c r="E17" s="24">
        <v>250</v>
      </c>
      <c r="F17" s="24">
        <f>E17/$F$7</f>
        <v>833.33333333333337</v>
      </c>
      <c r="G17" s="24">
        <f>E17/$G$7</f>
        <v>1000</v>
      </c>
      <c r="H17" s="25">
        <v>900</v>
      </c>
      <c r="I17" s="24">
        <v>820</v>
      </c>
      <c r="J17" s="24">
        <f>I17/$J$7</f>
        <v>234.28571428571428</v>
      </c>
      <c r="K17" s="24">
        <f>I17/$K$7</f>
        <v>205</v>
      </c>
      <c r="L17" s="24">
        <f>I17/$L$7</f>
        <v>585.71428571428578</v>
      </c>
      <c r="M17" s="24">
        <f>I17/$M$7</f>
        <v>328</v>
      </c>
      <c r="N17" s="24">
        <f>I17/$N$7</f>
        <v>182.22222222222223</v>
      </c>
      <c r="O17" s="24">
        <v>850</v>
      </c>
      <c r="P17" s="24">
        <v>499.83499999999998</v>
      </c>
      <c r="Q17" s="26">
        <f>P17/$Q$7</f>
        <v>684.70547945205476</v>
      </c>
      <c r="R17" s="26">
        <f>P17/$R$7</f>
        <v>537.45698924731175</v>
      </c>
      <c r="S17" s="26">
        <f>P17/$S$7</f>
        <v>662.03311258278143</v>
      </c>
      <c r="T17" s="26">
        <f>P17/$T$7</f>
        <v>333.2233333333333</v>
      </c>
      <c r="U17" s="26">
        <f>P17/$U$7</f>
        <v>434.6391304347826</v>
      </c>
      <c r="V17" s="26">
        <f>P17/$V$7</f>
        <v>357.02500000000003</v>
      </c>
      <c r="W17" s="24">
        <v>663</v>
      </c>
      <c r="X17" s="24">
        <v>861.9</v>
      </c>
      <c r="Y17" s="24">
        <v>397.8</v>
      </c>
      <c r="Z17" s="24">
        <v>530.4</v>
      </c>
      <c r="AA17" s="24">
        <v>994.5</v>
      </c>
      <c r="AB17" s="24">
        <v>770</v>
      </c>
      <c r="AC17" s="24">
        <v>900</v>
      </c>
      <c r="AD17" s="24">
        <v>5740</v>
      </c>
      <c r="AE17" s="24">
        <v>765</v>
      </c>
      <c r="AF17" s="27">
        <v>1100</v>
      </c>
      <c r="AG17" s="27">
        <v>1100</v>
      </c>
      <c r="AH17" s="24">
        <v>408</v>
      </c>
      <c r="AI17" s="24">
        <f>$AH$17/$AI$8</f>
        <v>2040</v>
      </c>
      <c r="AJ17" s="24">
        <f>$AH$17/$AJ$8</f>
        <v>408</v>
      </c>
      <c r="AK17" s="24">
        <f>$AH$17/$AK$8</f>
        <v>408</v>
      </c>
      <c r="AL17" s="24">
        <f>$AH$17/$AL$8</f>
        <v>408</v>
      </c>
      <c r="AM17" s="24">
        <f>$AH$17/$AM$8</f>
        <v>408</v>
      </c>
      <c r="AN17" s="63">
        <f t="shared" si="6"/>
        <v>796.14228773524076</v>
      </c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</row>
    <row r="18" spans="1:66" x14ac:dyDescent="0.25">
      <c r="A18" s="15" t="s">
        <v>34</v>
      </c>
      <c r="B18" s="17">
        <v>35899</v>
      </c>
      <c r="C18" s="21">
        <v>31057</v>
      </c>
      <c r="D18" s="21">
        <v>31057</v>
      </c>
      <c r="E18" s="17">
        <v>28760</v>
      </c>
      <c r="F18" s="17">
        <f>E18</f>
        <v>28760</v>
      </c>
      <c r="G18" s="17">
        <f>E18</f>
        <v>28760</v>
      </c>
      <c r="H18" s="21">
        <v>36322</v>
      </c>
      <c r="I18" s="17">
        <v>32250</v>
      </c>
      <c r="J18" s="17">
        <f>I18</f>
        <v>32250</v>
      </c>
      <c r="K18" s="17">
        <f>I18</f>
        <v>32250</v>
      </c>
      <c r="L18" s="17">
        <f>I18</f>
        <v>32250</v>
      </c>
      <c r="M18" s="17">
        <f>I18</f>
        <v>32250</v>
      </c>
      <c r="N18" s="17">
        <f>I18</f>
        <v>32250</v>
      </c>
      <c r="O18" s="17">
        <v>30821</v>
      </c>
      <c r="P18" s="17">
        <v>31320</v>
      </c>
      <c r="Q18" s="17">
        <f>P18</f>
        <v>31320</v>
      </c>
      <c r="R18" s="17">
        <f>P18</f>
        <v>31320</v>
      </c>
      <c r="S18" s="17">
        <f>P18</f>
        <v>31320</v>
      </c>
      <c r="T18" s="17">
        <f>P18</f>
        <v>31320</v>
      </c>
      <c r="U18" s="17">
        <f>P18</f>
        <v>31320</v>
      </c>
      <c r="V18" s="17">
        <f>P18</f>
        <v>31320</v>
      </c>
      <c r="W18" s="17">
        <v>32357</v>
      </c>
      <c r="X18" s="17">
        <v>32357</v>
      </c>
      <c r="Y18" s="17">
        <v>32357</v>
      </c>
      <c r="Z18" s="17">
        <v>32357</v>
      </c>
      <c r="AA18" s="17">
        <v>32357</v>
      </c>
      <c r="AB18" s="17">
        <v>36256</v>
      </c>
      <c r="AC18" s="17">
        <v>33815</v>
      </c>
      <c r="AD18" s="17">
        <f>31250+2041</f>
        <v>33291</v>
      </c>
      <c r="AE18" s="17">
        <v>28837</v>
      </c>
      <c r="AF18" s="21">
        <v>35883</v>
      </c>
      <c r="AG18" s="21">
        <f>AF18</f>
        <v>35883</v>
      </c>
      <c r="AH18" s="17">
        <v>36600</v>
      </c>
      <c r="AI18" s="17">
        <f>AH18</f>
        <v>36600</v>
      </c>
      <c r="AJ18" s="17">
        <f>AH18</f>
        <v>36600</v>
      </c>
      <c r="AK18" s="17">
        <f>AH18</f>
        <v>36600</v>
      </c>
      <c r="AL18" s="17">
        <f>AH18</f>
        <v>36600</v>
      </c>
      <c r="AM18" s="17">
        <f>AH18</f>
        <v>36600</v>
      </c>
      <c r="AN18" s="63">
        <f>ROUND((B18+C18+E18+H18+I18+O18+P18+W18+AB18+AC18+AD18+AE18+AF18+AH18)/14,1)</f>
        <v>33104.9</v>
      </c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</row>
    <row r="19" spans="1:66" ht="90" customHeight="1" x14ac:dyDescent="0.25">
      <c r="A19" s="23" t="s">
        <v>38</v>
      </c>
      <c r="B19" s="19" t="s">
        <v>61</v>
      </c>
      <c r="C19" s="36" t="s">
        <v>62</v>
      </c>
      <c r="D19" s="36"/>
      <c r="E19" s="36" t="s">
        <v>62</v>
      </c>
      <c r="F19" s="36"/>
      <c r="G19" s="36"/>
      <c r="H19" s="19" t="s">
        <v>61</v>
      </c>
      <c r="I19" s="36" t="s">
        <v>62</v>
      </c>
      <c r="J19" s="36"/>
      <c r="K19" s="36"/>
      <c r="L19" s="36"/>
      <c r="M19" s="36"/>
      <c r="N19" s="36"/>
      <c r="O19" s="19" t="s">
        <v>61</v>
      </c>
      <c r="P19" s="36" t="s">
        <v>50</v>
      </c>
      <c r="Q19" s="36"/>
      <c r="R19" s="36"/>
      <c r="S19" s="36"/>
      <c r="T19" s="36"/>
      <c r="U19" s="36"/>
      <c r="V19" s="36"/>
      <c r="W19" s="36" t="s">
        <v>62</v>
      </c>
      <c r="X19" s="36"/>
      <c r="Y19" s="36"/>
      <c r="Z19" s="36"/>
      <c r="AA19" s="36"/>
      <c r="AB19" s="19" t="s">
        <v>61</v>
      </c>
      <c r="AC19" s="19" t="s">
        <v>61</v>
      </c>
      <c r="AD19" s="19" t="s">
        <v>61</v>
      </c>
      <c r="AE19" s="19" t="s">
        <v>61</v>
      </c>
      <c r="AF19" s="19" t="s">
        <v>63</v>
      </c>
      <c r="AG19" s="19" t="s">
        <v>63</v>
      </c>
      <c r="AH19" s="36" t="s">
        <v>62</v>
      </c>
      <c r="AI19" s="36"/>
      <c r="AJ19" s="36"/>
      <c r="AK19" s="36"/>
      <c r="AL19" s="36"/>
      <c r="AM19" s="36"/>
      <c r="AN19" s="6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</row>
    <row r="20" spans="1:66" ht="33.75" customHeight="1" x14ac:dyDescent="0.25">
      <c r="A20" s="52" t="s">
        <v>53</v>
      </c>
      <c r="B20" s="53">
        <v>1</v>
      </c>
      <c r="C20" s="67">
        <v>2</v>
      </c>
      <c r="D20" s="68"/>
      <c r="E20" s="67">
        <v>3</v>
      </c>
      <c r="F20" s="69"/>
      <c r="G20" s="68"/>
      <c r="H20" s="53">
        <v>1</v>
      </c>
      <c r="I20" s="70">
        <v>6</v>
      </c>
      <c r="J20" s="71"/>
      <c r="K20" s="71"/>
      <c r="L20" s="71"/>
      <c r="M20" s="71"/>
      <c r="N20" s="56"/>
      <c r="O20" s="53">
        <v>1</v>
      </c>
      <c r="P20" s="70">
        <v>7</v>
      </c>
      <c r="Q20" s="71"/>
      <c r="R20" s="71"/>
      <c r="S20" s="71"/>
      <c r="T20" s="71"/>
      <c r="U20" s="71"/>
      <c r="V20" s="71"/>
      <c r="W20" s="70">
        <v>5</v>
      </c>
      <c r="X20" s="71"/>
      <c r="Y20" s="71"/>
      <c r="Z20" s="71"/>
      <c r="AA20" s="71"/>
      <c r="AB20" s="53">
        <v>1</v>
      </c>
      <c r="AC20" s="53">
        <v>1</v>
      </c>
      <c r="AD20" s="53">
        <v>1</v>
      </c>
      <c r="AE20" s="53">
        <v>1</v>
      </c>
      <c r="AF20" s="67">
        <v>2</v>
      </c>
      <c r="AG20" s="68"/>
      <c r="AH20" s="70">
        <v>6</v>
      </c>
      <c r="AI20" s="71"/>
      <c r="AJ20" s="71"/>
      <c r="AK20" s="71"/>
      <c r="AL20" s="71"/>
      <c r="AM20" s="71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</row>
    <row r="22" spans="1:66" x14ac:dyDescent="0.25">
      <c r="A22" s="16" t="s">
        <v>57</v>
      </c>
      <c r="X22" s="16">
        <f>X15/153</f>
        <v>1.3</v>
      </c>
      <c r="Y22" s="16">
        <f t="shared" ref="Y22:AA22" si="12">Y15/153</f>
        <v>0.6</v>
      </c>
      <c r="Z22" s="16">
        <f t="shared" si="12"/>
        <v>0.8</v>
      </c>
      <c r="AA22" s="16">
        <f t="shared" si="12"/>
        <v>1.5</v>
      </c>
    </row>
    <row r="23" spans="1:66" x14ac:dyDescent="0.25">
      <c r="A23" s="16" t="s">
        <v>51</v>
      </c>
    </row>
    <row r="26" spans="1:66" hidden="1" x14ac:dyDescent="0.25">
      <c r="B26" s="16">
        <v>0.34799999999999998</v>
      </c>
      <c r="T26" s="16">
        <v>31320</v>
      </c>
    </row>
  </sheetData>
  <mergeCells count="11">
    <mergeCell ref="AN4:AN5"/>
    <mergeCell ref="A1:AM1"/>
    <mergeCell ref="A2:AM2"/>
    <mergeCell ref="A4:A5"/>
    <mergeCell ref="C20:D20"/>
    <mergeCell ref="E20:G20"/>
    <mergeCell ref="I20:M20"/>
    <mergeCell ref="P20:V20"/>
    <mergeCell ref="W20:AA20"/>
    <mergeCell ref="AF20:AG20"/>
    <mergeCell ref="AH20:AM20"/>
  </mergeCells>
  <phoneticPr fontId="5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75" fitToWidth="2" fitToHeight="0" orientation="landscape" r:id="rId1"/>
  <headerFooter>
    <oddHeader>&amp;LČ.j.: MSMT-5485/2023-1&amp;RPříloha č. 7
&amp;A</oddHeader>
  </headerFooter>
  <ignoredErrors>
    <ignoredError sqref="AN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</vt:lpstr>
      <vt:lpstr>SPC 2024</vt:lpstr>
      <vt:lpstr>'SPC 2024'!Názvy_tisku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Hrdinová Jana</cp:lastModifiedBy>
  <cp:lastPrinted>2023-10-11T08:41:00Z</cp:lastPrinted>
  <dcterms:created xsi:type="dcterms:W3CDTF">2013-04-19T07:05:39Z</dcterms:created>
  <dcterms:modified xsi:type="dcterms:W3CDTF">2024-12-11T14:57:14Z</dcterms:modified>
</cp:coreProperties>
</file>