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ekce_SEI2\Odbor_10\Oddeleni_100\Jurková\2016\Materiály odboru\SEKCE I\Tabulkové přílohy a grafy\"/>
    </mc:Choice>
  </mc:AlternateContent>
  <bookViews>
    <workbookView xWindow="0" yWindow="0" windowWidth="25440" windowHeight="12135" activeTab="1"/>
  </bookViews>
  <sheets>
    <sheet name="C.VI.1" sheetId="1" r:id="rId1"/>
    <sheet name="C.VI.1a" sheetId="2" r:id="rId2"/>
    <sheet name="C.VI.1b" sheetId="3" r:id="rId3"/>
    <sheet name="C.VI.1c" sheetId="4" r:id="rId4"/>
    <sheet name="C.VI.1d" sheetId="5" r:id="rId5"/>
    <sheet name="C.VI.1e" sheetId="6" r:id="rId6"/>
    <sheet name="C.VI.2" sheetId="7" r:id="rId7"/>
    <sheet name="C.VI.2a" sheetId="8" r:id="rId8"/>
    <sheet name="C.VI.3" sheetId="9" r:id="rId9"/>
  </sheets>
  <externalReferences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5" l="1"/>
  <c r="D109" i="2" l="1"/>
  <c r="C109" i="2"/>
  <c r="I63" i="2" l="1"/>
  <c r="H20" i="4"/>
  <c r="I41" i="8" l="1"/>
  <c r="B41" i="8" s="1"/>
  <c r="C41" i="8"/>
  <c r="M39" i="8"/>
  <c r="K39" i="8"/>
  <c r="J39" i="8"/>
  <c r="H39" i="8"/>
  <c r="H40" i="8" s="1"/>
  <c r="G39" i="8"/>
  <c r="G40" i="8" s="1"/>
  <c r="F39" i="8"/>
  <c r="E39" i="8"/>
  <c r="D39" i="8"/>
  <c r="L38" i="8"/>
  <c r="I38" i="8"/>
  <c r="I39" i="8" s="1"/>
  <c r="C38" i="8"/>
  <c r="B38" i="8"/>
  <c r="L37" i="8"/>
  <c r="C37" i="8"/>
  <c r="B37" i="8" s="1"/>
  <c r="L36" i="8"/>
  <c r="C36" i="8"/>
  <c r="B36" i="8" s="1"/>
  <c r="L33" i="8"/>
  <c r="I33" i="8"/>
  <c r="C33" i="8"/>
  <c r="B33" i="8" s="1"/>
  <c r="L32" i="8"/>
  <c r="I32" i="8"/>
  <c r="C32" i="8"/>
  <c r="M31" i="8"/>
  <c r="M35" i="8" s="1"/>
  <c r="K31" i="8"/>
  <c r="K35" i="8" s="1"/>
  <c r="J31" i="8"/>
  <c r="J35" i="8" s="1"/>
  <c r="H31" i="8"/>
  <c r="H35" i="8" s="1"/>
  <c r="G31" i="8"/>
  <c r="G35" i="8" s="1"/>
  <c r="E31" i="8"/>
  <c r="E35" i="8" s="1"/>
  <c r="D31" i="8"/>
  <c r="D35" i="8" s="1"/>
  <c r="L30" i="8"/>
  <c r="C30" i="8"/>
  <c r="B30" i="8"/>
  <c r="L29" i="8"/>
  <c r="C29" i="8"/>
  <c r="B29" i="8"/>
  <c r="L28" i="8"/>
  <c r="C28" i="8"/>
  <c r="B28" i="8" s="1"/>
  <c r="L27" i="8"/>
  <c r="C27" i="8"/>
  <c r="B27" i="8" s="1"/>
  <c r="L26" i="8"/>
  <c r="C26" i="8"/>
  <c r="B26" i="8"/>
  <c r="L25" i="8"/>
  <c r="C25" i="8"/>
  <c r="B25" i="8" s="1"/>
  <c r="L24" i="8"/>
  <c r="C24" i="8"/>
  <c r="B24" i="8" s="1"/>
  <c r="L23" i="8"/>
  <c r="C23" i="8"/>
  <c r="B23" i="8" s="1"/>
  <c r="L22" i="8"/>
  <c r="C22" i="8"/>
  <c r="B22" i="8" s="1"/>
  <c r="L21" i="8"/>
  <c r="I21" i="8"/>
  <c r="C21" i="8"/>
  <c r="L20" i="8"/>
  <c r="C20" i="8"/>
  <c r="B20" i="8" s="1"/>
  <c r="L19" i="8"/>
  <c r="C19" i="8"/>
  <c r="B19" i="8" s="1"/>
  <c r="L18" i="8"/>
  <c r="C18" i="8"/>
  <c r="B18" i="8" s="1"/>
  <c r="L17" i="8"/>
  <c r="C17" i="8"/>
  <c r="B17" i="8" s="1"/>
  <c r="L16" i="8"/>
  <c r="C16" i="8"/>
  <c r="B16" i="8"/>
  <c r="L15" i="8"/>
  <c r="C15" i="8"/>
  <c r="B15" i="8"/>
  <c r="L14" i="8"/>
  <c r="I14" i="8"/>
  <c r="G14" i="8"/>
  <c r="F14" i="8"/>
  <c r="F31" i="8" s="1"/>
  <c r="C14" i="8"/>
  <c r="B14" i="8" s="1"/>
  <c r="L13" i="8"/>
  <c r="C13" i="8"/>
  <c r="B13" i="8"/>
  <c r="L12" i="8"/>
  <c r="C12" i="8"/>
  <c r="B12" i="8"/>
  <c r="L11" i="8"/>
  <c r="C11" i="8"/>
  <c r="B11" i="8" s="1"/>
  <c r="L51" i="6"/>
  <c r="K51" i="6"/>
  <c r="J51" i="6"/>
  <c r="I51" i="6"/>
  <c r="H51" i="6"/>
  <c r="G51" i="6"/>
  <c r="F51" i="6"/>
  <c r="E51" i="6"/>
  <c r="M51" i="6" s="1"/>
  <c r="L50" i="6"/>
  <c r="K50" i="6"/>
  <c r="J50" i="6"/>
  <c r="I50" i="6"/>
  <c r="H50" i="6"/>
  <c r="G50" i="6"/>
  <c r="F50" i="6"/>
  <c r="E50" i="6"/>
  <c r="M50" i="6" s="1"/>
  <c r="L49" i="6"/>
  <c r="K49" i="6"/>
  <c r="I49" i="6"/>
  <c r="G49" i="6"/>
  <c r="F49" i="6"/>
  <c r="E49" i="6"/>
  <c r="L48" i="6"/>
  <c r="K48" i="6"/>
  <c r="I48" i="6"/>
  <c r="G48" i="6"/>
  <c r="F48" i="6"/>
  <c r="E48" i="6"/>
  <c r="L47" i="6"/>
  <c r="K47" i="6"/>
  <c r="I47" i="6"/>
  <c r="G47" i="6"/>
  <c r="F47" i="6"/>
  <c r="E47" i="6"/>
  <c r="L46" i="6"/>
  <c r="K46" i="6"/>
  <c r="I46" i="6"/>
  <c r="G46" i="6"/>
  <c r="F46" i="6"/>
  <c r="E46" i="6"/>
  <c r="L45" i="6"/>
  <c r="K45" i="6"/>
  <c r="I45" i="6"/>
  <c r="G45" i="6"/>
  <c r="F45" i="6"/>
  <c r="E45" i="6"/>
  <c r="L44" i="6"/>
  <c r="K44" i="6"/>
  <c r="I44" i="6"/>
  <c r="G44" i="6"/>
  <c r="F44" i="6"/>
  <c r="E44" i="6"/>
  <c r="L41" i="6"/>
  <c r="K41" i="6"/>
  <c r="J41" i="6"/>
  <c r="I41" i="6"/>
  <c r="H41" i="6"/>
  <c r="G41" i="6"/>
  <c r="F41" i="6"/>
  <c r="E41" i="6"/>
  <c r="L40" i="6"/>
  <c r="K40" i="6"/>
  <c r="J40" i="6"/>
  <c r="I40" i="6"/>
  <c r="H40" i="6"/>
  <c r="G40" i="6"/>
  <c r="F40" i="6"/>
  <c r="E40" i="6"/>
  <c r="M38" i="6"/>
  <c r="M37" i="6"/>
  <c r="M36" i="6"/>
  <c r="M35" i="6"/>
  <c r="M34" i="6"/>
  <c r="M33" i="6"/>
  <c r="J32" i="6"/>
  <c r="F32" i="6"/>
  <c r="M32" i="6" s="1"/>
  <c r="E32" i="6"/>
  <c r="J31" i="6"/>
  <c r="J28" i="6" s="1"/>
  <c r="F31" i="6"/>
  <c r="F28" i="6" s="1"/>
  <c r="E31" i="6"/>
  <c r="E28" i="6" s="1"/>
  <c r="M30" i="6"/>
  <c r="M29" i="6"/>
  <c r="J27" i="6"/>
  <c r="J49" i="6" s="1"/>
  <c r="H27" i="6"/>
  <c r="J23" i="6"/>
  <c r="H23" i="6"/>
  <c r="J22" i="6"/>
  <c r="J25" i="6" s="1"/>
  <c r="H22" i="6"/>
  <c r="H44" i="6" s="1"/>
  <c r="J20" i="6"/>
  <c r="J17" i="6" s="1"/>
  <c r="H20" i="6"/>
  <c r="H17" i="6" s="1"/>
  <c r="M19" i="6"/>
  <c r="M18" i="6"/>
  <c r="M16" i="6"/>
  <c r="M15" i="6"/>
  <c r="M14" i="6"/>
  <c r="M13" i="6"/>
  <c r="M12" i="6"/>
  <c r="M11" i="6"/>
  <c r="M10" i="6"/>
  <c r="M9" i="6"/>
  <c r="L8" i="6"/>
  <c r="L43" i="6" s="1"/>
  <c r="K8" i="6"/>
  <c r="K43" i="6" s="1"/>
  <c r="J8" i="6"/>
  <c r="I8" i="6"/>
  <c r="I43" i="6" s="1"/>
  <c r="H8" i="6"/>
  <c r="G8" i="6"/>
  <c r="G43" i="6" s="1"/>
  <c r="F8" i="6"/>
  <c r="F43" i="6" s="1"/>
  <c r="E8" i="6"/>
  <c r="E43" i="6" s="1"/>
  <c r="L7" i="6"/>
  <c r="L42" i="6" s="1"/>
  <c r="K7" i="6"/>
  <c r="K42" i="6" s="1"/>
  <c r="J7" i="6"/>
  <c r="I7" i="6"/>
  <c r="I42" i="6" s="1"/>
  <c r="H7" i="6"/>
  <c r="H5" i="6" s="1"/>
  <c r="G7" i="6"/>
  <c r="G5" i="6" s="1"/>
  <c r="G39" i="6" s="1"/>
  <c r="F7" i="6"/>
  <c r="E7" i="6"/>
  <c r="M6" i="6"/>
  <c r="K5" i="6"/>
  <c r="K39" i="6" s="1"/>
  <c r="I96" i="5"/>
  <c r="I92" i="5" s="1"/>
  <c r="D96" i="5"/>
  <c r="D95" i="5"/>
  <c r="C95" i="5" s="1"/>
  <c r="J92" i="5"/>
  <c r="H92" i="5"/>
  <c r="G92" i="5"/>
  <c r="F92" i="5"/>
  <c r="D92" i="5" s="1"/>
  <c r="C92" i="5" s="1"/>
  <c r="E92" i="5"/>
  <c r="J90" i="5"/>
  <c r="H90" i="5"/>
  <c r="G90" i="5"/>
  <c r="F90" i="5"/>
  <c r="E90" i="5"/>
  <c r="D89" i="5"/>
  <c r="C89" i="5"/>
  <c r="D88" i="5"/>
  <c r="C88" i="5" s="1"/>
  <c r="D87" i="5"/>
  <c r="C87" i="5" s="1"/>
  <c r="D86" i="5"/>
  <c r="C86" i="5" s="1"/>
  <c r="D85" i="5"/>
  <c r="C85" i="5"/>
  <c r="D84" i="5"/>
  <c r="C84" i="5" s="1"/>
  <c r="D83" i="5"/>
  <c r="C83" i="5"/>
  <c r="D82" i="5"/>
  <c r="C82" i="5" s="1"/>
  <c r="D81" i="5"/>
  <c r="C81" i="5"/>
  <c r="D80" i="5"/>
  <c r="C80" i="5" s="1"/>
  <c r="I79" i="5"/>
  <c r="C79" i="5" s="1"/>
  <c r="D79" i="5"/>
  <c r="D78" i="5"/>
  <c r="C78" i="5"/>
  <c r="D77" i="5"/>
  <c r="C77" i="5"/>
  <c r="D76" i="5"/>
  <c r="C76" i="5"/>
  <c r="D73" i="5"/>
  <c r="C73" i="5"/>
  <c r="D72" i="5"/>
  <c r="C72" i="5" s="1"/>
  <c r="J70" i="5"/>
  <c r="I70" i="5"/>
  <c r="H70" i="5"/>
  <c r="G70" i="5"/>
  <c r="F70" i="5"/>
  <c r="E70" i="5"/>
  <c r="D69" i="5"/>
  <c r="C69" i="5" s="1"/>
  <c r="D68" i="5"/>
  <c r="C68" i="5"/>
  <c r="D67" i="5"/>
  <c r="C67" i="5" s="1"/>
  <c r="D66" i="5"/>
  <c r="C66" i="5" s="1"/>
  <c r="D65" i="5"/>
  <c r="C65" i="5" s="1"/>
  <c r="D64" i="5"/>
  <c r="C64" i="5"/>
  <c r="D63" i="5"/>
  <c r="C63" i="5" s="1"/>
  <c r="D62" i="5"/>
  <c r="C62" i="5"/>
  <c r="J59" i="5"/>
  <c r="I59" i="5"/>
  <c r="H59" i="5"/>
  <c r="G59" i="5"/>
  <c r="F59" i="5"/>
  <c r="E59" i="5"/>
  <c r="D58" i="5"/>
  <c r="C58" i="5" s="1"/>
  <c r="D57" i="5"/>
  <c r="C57" i="5"/>
  <c r="D56" i="5"/>
  <c r="C56" i="5" s="1"/>
  <c r="J53" i="5"/>
  <c r="I53" i="5"/>
  <c r="H53" i="5"/>
  <c r="G53" i="5"/>
  <c r="F53" i="5"/>
  <c r="E53" i="5"/>
  <c r="D52" i="5"/>
  <c r="C52" i="5" s="1"/>
  <c r="D51" i="5"/>
  <c r="C51" i="5" s="1"/>
  <c r="D50" i="5"/>
  <c r="C50" i="5"/>
  <c r="D49" i="5"/>
  <c r="C49" i="5" s="1"/>
  <c r="D48" i="5"/>
  <c r="C48" i="5"/>
  <c r="D47" i="5"/>
  <c r="C47" i="5" s="1"/>
  <c r="D46" i="5"/>
  <c r="C46" i="5"/>
  <c r="D45" i="5"/>
  <c r="C45" i="5" s="1"/>
  <c r="D44" i="5"/>
  <c r="C44" i="5" s="1"/>
  <c r="D43" i="5"/>
  <c r="C43" i="5" s="1"/>
  <c r="D42" i="5"/>
  <c r="C42" i="5"/>
  <c r="J37" i="5"/>
  <c r="I37" i="5"/>
  <c r="H37" i="5"/>
  <c r="G37" i="5"/>
  <c r="F37" i="5"/>
  <c r="E37" i="5"/>
  <c r="D36" i="5"/>
  <c r="C36" i="5" s="1"/>
  <c r="D35" i="5"/>
  <c r="C35" i="5"/>
  <c r="D34" i="5"/>
  <c r="C34" i="5" s="1"/>
  <c r="D33" i="5"/>
  <c r="C33" i="5"/>
  <c r="D32" i="5"/>
  <c r="C32" i="5" s="1"/>
  <c r="D31" i="5"/>
  <c r="C31" i="5" s="1"/>
  <c r="D30" i="5"/>
  <c r="C30" i="5" s="1"/>
  <c r="J28" i="5"/>
  <c r="F28" i="5"/>
  <c r="D28" i="5" s="1"/>
  <c r="E28" i="5"/>
  <c r="G27" i="5"/>
  <c r="D27" i="5"/>
  <c r="C27" i="5" s="1"/>
  <c r="G26" i="5"/>
  <c r="D26" i="5"/>
  <c r="J24" i="5"/>
  <c r="I24" i="5"/>
  <c r="F24" i="5"/>
  <c r="E24" i="5"/>
  <c r="D24" i="5" s="1"/>
  <c r="H23" i="5"/>
  <c r="G23" i="5"/>
  <c r="D23" i="5"/>
  <c r="H22" i="5"/>
  <c r="G22" i="5"/>
  <c r="G24" i="5" s="1"/>
  <c r="D22" i="5"/>
  <c r="D21" i="5"/>
  <c r="C21" i="5"/>
  <c r="J18" i="5"/>
  <c r="J39" i="5" s="1"/>
  <c r="F18" i="5"/>
  <c r="F39" i="5" s="1"/>
  <c r="E18" i="5"/>
  <c r="E39" i="5" s="1"/>
  <c r="H17" i="5"/>
  <c r="C17" i="5" s="1"/>
  <c r="G17" i="5"/>
  <c r="D17" i="5"/>
  <c r="H16" i="5"/>
  <c r="C16" i="5" s="1"/>
  <c r="G16" i="5"/>
  <c r="D16" i="5"/>
  <c r="H15" i="5"/>
  <c r="C15" i="5" s="1"/>
  <c r="G15" i="5"/>
  <c r="D15" i="5"/>
  <c r="H14" i="5"/>
  <c r="D14" i="5"/>
  <c r="C14" i="5" s="1"/>
  <c r="H13" i="5"/>
  <c r="G13" i="5"/>
  <c r="D13" i="5"/>
  <c r="H12" i="5"/>
  <c r="G12" i="5"/>
  <c r="D12" i="5"/>
  <c r="I11" i="5"/>
  <c r="I18" i="5" s="1"/>
  <c r="H11" i="5"/>
  <c r="G11" i="5"/>
  <c r="D11" i="5"/>
  <c r="C11" i="5" s="1"/>
  <c r="H10" i="5"/>
  <c r="G10" i="5"/>
  <c r="G18" i="5" s="1"/>
  <c r="D10" i="5"/>
  <c r="D18" i="5" s="1"/>
  <c r="L24" i="4"/>
  <c r="H24" i="4"/>
  <c r="G24" i="4"/>
  <c r="F24" i="4"/>
  <c r="E24" i="4"/>
  <c r="I23" i="4"/>
  <c r="D23" i="4"/>
  <c r="I21" i="4"/>
  <c r="H21" i="4"/>
  <c r="H22" i="4" s="1"/>
  <c r="H25" i="4" s="1"/>
  <c r="F21" i="4"/>
  <c r="E21" i="4"/>
  <c r="L20" i="4"/>
  <c r="L22" i="4" s="1"/>
  <c r="L25" i="4" s="1"/>
  <c r="J20" i="4"/>
  <c r="I22" i="4"/>
  <c r="G20" i="4"/>
  <c r="G22" i="4" s="1"/>
  <c r="F20" i="4"/>
  <c r="F22" i="4" s="1"/>
  <c r="F25" i="4" s="1"/>
  <c r="E20" i="4"/>
  <c r="E22" i="4" s="1"/>
  <c r="D19" i="4"/>
  <c r="C19" i="4"/>
  <c r="K19" i="4" s="1"/>
  <c r="D18" i="4"/>
  <c r="C18" i="4"/>
  <c r="K18" i="4" s="1"/>
  <c r="D17" i="4"/>
  <c r="C17" i="4" s="1"/>
  <c r="K17" i="4" s="1"/>
  <c r="D16" i="4"/>
  <c r="C16" i="4" s="1"/>
  <c r="K16" i="4" s="1"/>
  <c r="D15" i="4"/>
  <c r="C15" i="4"/>
  <c r="K15" i="4" s="1"/>
  <c r="I14" i="4"/>
  <c r="I20" i="4" s="1"/>
  <c r="D14" i="4"/>
  <c r="C14" i="4"/>
  <c r="K14" i="4" s="1"/>
  <c r="D13" i="4"/>
  <c r="C13" i="4"/>
  <c r="K13" i="4" s="1"/>
  <c r="D12" i="4"/>
  <c r="C12" i="4" s="1"/>
  <c r="K12" i="4" s="1"/>
  <c r="D11" i="4"/>
  <c r="C11" i="4"/>
  <c r="K11" i="4" s="1"/>
  <c r="D10" i="4"/>
  <c r="C10" i="4"/>
  <c r="K10" i="4" s="1"/>
  <c r="D9" i="4"/>
  <c r="C9" i="4"/>
  <c r="K9" i="4" s="1"/>
  <c r="D8" i="4"/>
  <c r="C8" i="4" s="1"/>
  <c r="K8" i="4" s="1"/>
  <c r="M47" i="3"/>
  <c r="K47" i="3"/>
  <c r="J47" i="3"/>
  <c r="H47" i="3"/>
  <c r="G47" i="3"/>
  <c r="F47" i="3"/>
  <c r="E46" i="3"/>
  <c r="E47" i="3" s="1"/>
  <c r="M45" i="3"/>
  <c r="K45" i="3"/>
  <c r="J45" i="3"/>
  <c r="I45" i="3"/>
  <c r="H45" i="3"/>
  <c r="G45" i="3"/>
  <c r="F45" i="3"/>
  <c r="E45" i="3"/>
  <c r="D45" i="3"/>
  <c r="E44" i="3"/>
  <c r="D44" i="3"/>
  <c r="L44" i="3" s="1"/>
  <c r="L45" i="3" s="1"/>
  <c r="M43" i="3"/>
  <c r="K43" i="3"/>
  <c r="I43" i="3"/>
  <c r="H43" i="3"/>
  <c r="G43" i="3"/>
  <c r="F43" i="3"/>
  <c r="E42" i="3"/>
  <c r="D42" i="3"/>
  <c r="L42" i="3" s="1"/>
  <c r="E41" i="3"/>
  <c r="D41" i="3"/>
  <c r="L41" i="3" s="1"/>
  <c r="E40" i="3"/>
  <c r="D40" i="3" s="1"/>
  <c r="L40" i="3" s="1"/>
  <c r="E39" i="3"/>
  <c r="D39" i="3"/>
  <c r="L39" i="3" s="1"/>
  <c r="E38" i="3"/>
  <c r="D38" i="3"/>
  <c r="L38" i="3" s="1"/>
  <c r="J37" i="3"/>
  <c r="J43" i="3" s="1"/>
  <c r="E37" i="3"/>
  <c r="D37" i="3"/>
  <c r="L37" i="3" s="1"/>
  <c r="E36" i="3"/>
  <c r="D36" i="3"/>
  <c r="L36" i="3" s="1"/>
  <c r="E35" i="3"/>
  <c r="D35" i="3" s="1"/>
  <c r="M34" i="3"/>
  <c r="K34" i="3"/>
  <c r="J34" i="3"/>
  <c r="I34" i="3"/>
  <c r="H34" i="3"/>
  <c r="G34" i="3"/>
  <c r="F34" i="3"/>
  <c r="L33" i="3"/>
  <c r="E33" i="3"/>
  <c r="D33" i="3"/>
  <c r="E32" i="3"/>
  <c r="D32" i="3" s="1"/>
  <c r="L32" i="3" s="1"/>
  <c r="E31" i="3"/>
  <c r="D31" i="3" s="1"/>
  <c r="L31" i="3" s="1"/>
  <c r="E30" i="3"/>
  <c r="D30" i="3"/>
  <c r="L30" i="3" s="1"/>
  <c r="L29" i="3"/>
  <c r="E29" i="3"/>
  <c r="D29" i="3"/>
  <c r="E28" i="3"/>
  <c r="D28" i="3" s="1"/>
  <c r="L28" i="3" s="1"/>
  <c r="E27" i="3"/>
  <c r="D27" i="3" s="1"/>
  <c r="L27" i="3" s="1"/>
  <c r="E26" i="3"/>
  <c r="D26" i="3"/>
  <c r="L26" i="3" s="1"/>
  <c r="L25" i="3"/>
  <c r="E25" i="3"/>
  <c r="D25" i="3"/>
  <c r="E24" i="3"/>
  <c r="D24" i="3" s="1"/>
  <c r="L24" i="3" s="1"/>
  <c r="E23" i="3"/>
  <c r="D23" i="3" s="1"/>
  <c r="L23" i="3" s="1"/>
  <c r="E22" i="3"/>
  <c r="D22" i="3"/>
  <c r="L22" i="3" s="1"/>
  <c r="L21" i="3"/>
  <c r="E21" i="3"/>
  <c r="D21" i="3"/>
  <c r="E20" i="3"/>
  <c r="D20" i="3" s="1"/>
  <c r="L20" i="3" s="1"/>
  <c r="E19" i="3"/>
  <c r="D19" i="3" s="1"/>
  <c r="L19" i="3" s="1"/>
  <c r="E18" i="3"/>
  <c r="D18" i="3"/>
  <c r="L18" i="3" s="1"/>
  <c r="L17" i="3"/>
  <c r="E17" i="3"/>
  <c r="D17" i="3"/>
  <c r="E16" i="3"/>
  <c r="D16" i="3" s="1"/>
  <c r="M15" i="3"/>
  <c r="K15" i="3"/>
  <c r="H15" i="3"/>
  <c r="G15" i="3"/>
  <c r="F15" i="3"/>
  <c r="E14" i="3"/>
  <c r="D14" i="3"/>
  <c r="L14" i="3" s="1"/>
  <c r="J13" i="3"/>
  <c r="D13" i="3" s="1"/>
  <c r="L13" i="3" s="1"/>
  <c r="E13" i="3"/>
  <c r="I12" i="3"/>
  <c r="I15" i="3" s="1"/>
  <c r="E12" i="3"/>
  <c r="J11" i="3"/>
  <c r="J15" i="3" s="1"/>
  <c r="I11" i="3"/>
  <c r="E11" i="3"/>
  <c r="M10" i="3"/>
  <c r="K10" i="3"/>
  <c r="K48" i="3" s="1"/>
  <c r="G10" i="3"/>
  <c r="F10" i="3"/>
  <c r="J9" i="3"/>
  <c r="J10" i="3" s="1"/>
  <c r="I9" i="3"/>
  <c r="H9" i="3"/>
  <c r="H10" i="3" s="1"/>
  <c r="E9" i="3"/>
  <c r="E10" i="3" s="1"/>
  <c r="L8" i="3"/>
  <c r="E8" i="3"/>
  <c r="D8" i="3"/>
  <c r="J115" i="2"/>
  <c r="I115" i="2"/>
  <c r="F115" i="2"/>
  <c r="E115" i="2"/>
  <c r="H114" i="2"/>
  <c r="G114" i="2"/>
  <c r="G115" i="2" s="1"/>
  <c r="D114" i="2"/>
  <c r="C113" i="2"/>
  <c r="D112" i="2"/>
  <c r="C112" i="2" s="1"/>
  <c r="D111" i="2"/>
  <c r="C111" i="2"/>
  <c r="H110" i="2"/>
  <c r="G110" i="2"/>
  <c r="D110" i="2"/>
  <c r="J105" i="2"/>
  <c r="I105" i="2"/>
  <c r="H105" i="2"/>
  <c r="G105" i="2"/>
  <c r="F105" i="2"/>
  <c r="E105" i="2"/>
  <c r="D104" i="2"/>
  <c r="C104" i="2" s="1"/>
  <c r="D103" i="2"/>
  <c r="D105" i="2" s="1"/>
  <c r="J101" i="2"/>
  <c r="I101" i="2"/>
  <c r="F101" i="2"/>
  <c r="E101" i="2"/>
  <c r="H100" i="2"/>
  <c r="G100" i="2"/>
  <c r="D100" i="2"/>
  <c r="H99" i="2"/>
  <c r="G99" i="2"/>
  <c r="D99" i="2"/>
  <c r="H98" i="2"/>
  <c r="G98" i="2"/>
  <c r="D98" i="2"/>
  <c r="H97" i="2"/>
  <c r="G97" i="2"/>
  <c r="D97" i="2"/>
  <c r="J95" i="2"/>
  <c r="J106" i="2" s="1"/>
  <c r="E95" i="2"/>
  <c r="E106" i="2" s="1"/>
  <c r="I94" i="2"/>
  <c r="H94" i="2"/>
  <c r="D94" i="2"/>
  <c r="I93" i="2"/>
  <c r="H93" i="2"/>
  <c r="G93" i="2"/>
  <c r="F93" i="2"/>
  <c r="F95" i="2" s="1"/>
  <c r="F106" i="2" s="1"/>
  <c r="D92" i="2"/>
  <c r="C92" i="2"/>
  <c r="H91" i="2"/>
  <c r="G91" i="2"/>
  <c r="D91" i="2"/>
  <c r="I87" i="2"/>
  <c r="D87" i="2"/>
  <c r="D86" i="2"/>
  <c r="C86" i="2" s="1"/>
  <c r="J83" i="2"/>
  <c r="H83" i="2"/>
  <c r="G83" i="2"/>
  <c r="F83" i="2"/>
  <c r="E83" i="2"/>
  <c r="D83" i="2" s="1"/>
  <c r="J81" i="2"/>
  <c r="H81" i="2"/>
  <c r="G81" i="2"/>
  <c r="F81" i="2"/>
  <c r="E81" i="2"/>
  <c r="D80" i="2"/>
  <c r="C80" i="2" s="1"/>
  <c r="D79" i="2"/>
  <c r="C79" i="2" s="1"/>
  <c r="D78" i="2"/>
  <c r="C78" i="2" s="1"/>
  <c r="D77" i="2"/>
  <c r="C77" i="2" s="1"/>
  <c r="D76" i="2"/>
  <c r="C76" i="2" s="1"/>
  <c r="D75" i="2"/>
  <c r="C75" i="2" s="1"/>
  <c r="D74" i="2"/>
  <c r="C74" i="2" s="1"/>
  <c r="D73" i="2"/>
  <c r="C73" i="2"/>
  <c r="D72" i="2"/>
  <c r="C72" i="2" s="1"/>
  <c r="D71" i="2"/>
  <c r="C71" i="2" s="1"/>
  <c r="I70" i="2"/>
  <c r="I81" i="2" s="1"/>
  <c r="D70" i="2"/>
  <c r="D69" i="2"/>
  <c r="C69" i="2" s="1"/>
  <c r="D68" i="2"/>
  <c r="C68" i="2" s="1"/>
  <c r="D67" i="2"/>
  <c r="C67" i="2" s="1"/>
  <c r="D64" i="2"/>
  <c r="C64" i="2" s="1"/>
  <c r="D63" i="2"/>
  <c r="C63" i="2"/>
  <c r="J61" i="2"/>
  <c r="I61" i="2"/>
  <c r="H61" i="2"/>
  <c r="G61" i="2"/>
  <c r="F61" i="2"/>
  <c r="E61" i="2"/>
  <c r="D60" i="2"/>
  <c r="C60" i="2"/>
  <c r="D59" i="2"/>
  <c r="C59" i="2" s="1"/>
  <c r="D58" i="2"/>
  <c r="C58" i="2"/>
  <c r="D57" i="2"/>
  <c r="C57" i="2" s="1"/>
  <c r="D56" i="2"/>
  <c r="C56" i="2" s="1"/>
  <c r="D55" i="2"/>
  <c r="C55" i="2" s="1"/>
  <c r="D54" i="2"/>
  <c r="C54" i="2" s="1"/>
  <c r="D53" i="2"/>
  <c r="J50" i="2"/>
  <c r="I50" i="2"/>
  <c r="H50" i="2"/>
  <c r="G50" i="2"/>
  <c r="F50" i="2"/>
  <c r="E50" i="2"/>
  <c r="D49" i="2"/>
  <c r="C49" i="2" s="1"/>
  <c r="D48" i="2"/>
  <c r="C48" i="2"/>
  <c r="D47" i="2"/>
  <c r="C47" i="2" s="1"/>
  <c r="J44" i="2"/>
  <c r="I44" i="2"/>
  <c r="H44" i="2"/>
  <c r="G44" i="2"/>
  <c r="F44" i="2"/>
  <c r="E44" i="2"/>
  <c r="D43" i="2"/>
  <c r="C43" i="2" s="1"/>
  <c r="D42" i="2"/>
  <c r="C42" i="2" s="1"/>
  <c r="D41" i="2"/>
  <c r="C41" i="2" s="1"/>
  <c r="D40" i="2"/>
  <c r="C40" i="2"/>
  <c r="D39" i="2"/>
  <c r="C39" i="2" s="1"/>
  <c r="D38" i="2"/>
  <c r="C38" i="2"/>
  <c r="D37" i="2"/>
  <c r="C37" i="2" s="1"/>
  <c r="D36" i="2"/>
  <c r="C36" i="2" s="1"/>
  <c r="D35" i="2"/>
  <c r="C35" i="2"/>
  <c r="D34" i="2"/>
  <c r="C34" i="2" s="1"/>
  <c r="D33" i="2"/>
  <c r="C33" i="2" s="1"/>
  <c r="D32" i="2"/>
  <c r="C32" i="2" s="1"/>
  <c r="D31" i="2"/>
  <c r="J28" i="2"/>
  <c r="I28" i="2"/>
  <c r="H28" i="2"/>
  <c r="G28" i="2"/>
  <c r="F28" i="2"/>
  <c r="E28" i="2"/>
  <c r="D27" i="2"/>
  <c r="C27" i="2" s="1"/>
  <c r="D26" i="2"/>
  <c r="C26" i="2"/>
  <c r="D25" i="2"/>
  <c r="C25" i="2" s="1"/>
  <c r="D24" i="2"/>
  <c r="C24" i="2"/>
  <c r="D23" i="2"/>
  <c r="C23" i="2" s="1"/>
  <c r="D22" i="2"/>
  <c r="C22" i="2"/>
  <c r="D21" i="2"/>
  <c r="C21" i="2" s="1"/>
  <c r="J18" i="2"/>
  <c r="F18" i="2"/>
  <c r="E18" i="2"/>
  <c r="H17" i="2"/>
  <c r="G17" i="2"/>
  <c r="D17" i="2"/>
  <c r="H16" i="2"/>
  <c r="G16" i="2"/>
  <c r="D16" i="2"/>
  <c r="H15" i="2"/>
  <c r="G15" i="2"/>
  <c r="D15" i="2"/>
  <c r="H14" i="2"/>
  <c r="D14" i="2"/>
  <c r="H13" i="2"/>
  <c r="G13" i="2"/>
  <c r="D13" i="2"/>
  <c r="H12" i="2"/>
  <c r="G12" i="2"/>
  <c r="D12" i="2"/>
  <c r="I11" i="2"/>
  <c r="I18" i="2" s="1"/>
  <c r="H11" i="2"/>
  <c r="G11" i="2"/>
  <c r="D11" i="2"/>
  <c r="H10" i="2"/>
  <c r="G10" i="2"/>
  <c r="D10" i="2"/>
  <c r="C11" i="2" l="1"/>
  <c r="C15" i="2"/>
  <c r="E82" i="2"/>
  <c r="E84" i="2" s="1"/>
  <c r="E89" i="2" s="1"/>
  <c r="C87" i="2"/>
  <c r="G95" i="2"/>
  <c r="D115" i="2"/>
  <c r="C14" i="2"/>
  <c r="F82" i="2"/>
  <c r="F84" i="2" s="1"/>
  <c r="F89" i="2" s="1"/>
  <c r="D44" i="2"/>
  <c r="D61" i="2"/>
  <c r="D95" i="2"/>
  <c r="C70" i="2"/>
  <c r="C81" i="2" s="1"/>
  <c r="D93" i="2"/>
  <c r="H101" i="2"/>
  <c r="G101" i="2"/>
  <c r="C31" i="2"/>
  <c r="C44" i="2" s="1"/>
  <c r="C53" i="2"/>
  <c r="C61" i="2" s="1"/>
  <c r="J48" i="3"/>
  <c r="I90" i="5"/>
  <c r="C100" i="2"/>
  <c r="M48" i="3"/>
  <c r="C13" i="5"/>
  <c r="H24" i="5"/>
  <c r="D37" i="5"/>
  <c r="C37" i="5" s="1"/>
  <c r="C70" i="5"/>
  <c r="M41" i="6"/>
  <c r="L31" i="8"/>
  <c r="L35" i="8" s="1"/>
  <c r="C13" i="2"/>
  <c r="C28" i="2"/>
  <c r="C50" i="2"/>
  <c r="C93" i="2"/>
  <c r="I95" i="2"/>
  <c r="I106" i="2" s="1"/>
  <c r="D101" i="2"/>
  <c r="C99" i="2"/>
  <c r="H115" i="2"/>
  <c r="H48" i="3"/>
  <c r="F48" i="3"/>
  <c r="E15" i="3"/>
  <c r="G25" i="4"/>
  <c r="D24" i="4"/>
  <c r="H18" i="5"/>
  <c r="H39" i="5" s="1"/>
  <c r="C26" i="5"/>
  <c r="C28" i="5" s="1"/>
  <c r="D70" i="5"/>
  <c r="C96" i="5"/>
  <c r="B32" i="8"/>
  <c r="C94" i="2"/>
  <c r="C23" i="4"/>
  <c r="K23" i="4" s="1"/>
  <c r="J38" i="5"/>
  <c r="J91" i="5" s="1"/>
  <c r="M40" i="6"/>
  <c r="B21" i="8"/>
  <c r="H18" i="2"/>
  <c r="H82" i="2" s="1"/>
  <c r="H84" i="2" s="1"/>
  <c r="H89" i="2" s="1"/>
  <c r="C17" i="2"/>
  <c r="C12" i="2"/>
  <c r="C16" i="2"/>
  <c r="J82" i="2"/>
  <c r="J84" i="2" s="1"/>
  <c r="J89" i="2" s="1"/>
  <c r="D28" i="2"/>
  <c r="D50" i="2"/>
  <c r="H95" i="2"/>
  <c r="H106" i="2" s="1"/>
  <c r="C98" i="2"/>
  <c r="C103" i="2"/>
  <c r="C105" i="2" s="1"/>
  <c r="D9" i="3"/>
  <c r="L9" i="3" s="1"/>
  <c r="G48" i="3"/>
  <c r="D20" i="4"/>
  <c r="C20" i="4" s="1"/>
  <c r="K20" i="4" s="1"/>
  <c r="D21" i="4"/>
  <c r="C21" i="4" s="1"/>
  <c r="K21" i="4" s="1"/>
  <c r="C10" i="5"/>
  <c r="C23" i="5"/>
  <c r="F42" i="6"/>
  <c r="H39" i="6"/>
  <c r="M27" i="6"/>
  <c r="H42" i="6"/>
  <c r="J42" i="6"/>
  <c r="L5" i="6"/>
  <c r="L39" i="6" s="1"/>
  <c r="M23" i="6"/>
  <c r="G42" i="6"/>
  <c r="M31" i="6"/>
  <c r="M28" i="6"/>
  <c r="E42" i="6"/>
  <c r="M17" i="6"/>
  <c r="J21" i="6"/>
  <c r="J43" i="6" s="1"/>
  <c r="J44" i="6"/>
  <c r="M44" i="6" s="1"/>
  <c r="L39" i="8"/>
  <c r="L40" i="8" s="1"/>
  <c r="C39" i="8"/>
  <c r="B39" i="8" s="1"/>
  <c r="I31" i="8"/>
  <c r="I35" i="8" s="1"/>
  <c r="I40" i="8" s="1"/>
  <c r="J40" i="8"/>
  <c r="K40" i="8"/>
  <c r="F35" i="8"/>
  <c r="C35" i="8" s="1"/>
  <c r="C31" i="8"/>
  <c r="D40" i="8"/>
  <c r="M40" i="8"/>
  <c r="E40" i="8"/>
  <c r="J24" i="6"/>
  <c r="J46" i="6" s="1"/>
  <c r="J47" i="6"/>
  <c r="M7" i="6"/>
  <c r="H45" i="6"/>
  <c r="H49" i="6"/>
  <c r="M49" i="6" s="1"/>
  <c r="M8" i="6"/>
  <c r="M20" i="6"/>
  <c r="E5" i="6"/>
  <c r="I5" i="6"/>
  <c r="I39" i="6" s="1"/>
  <c r="H21" i="6"/>
  <c r="H43" i="6" s="1"/>
  <c r="M43" i="6" s="1"/>
  <c r="H25" i="6"/>
  <c r="J45" i="6"/>
  <c r="M45" i="6" s="1"/>
  <c r="F5" i="6"/>
  <c r="F39" i="6" s="1"/>
  <c r="J5" i="6"/>
  <c r="J39" i="6" s="1"/>
  <c r="M22" i="6"/>
  <c r="C18" i="5"/>
  <c r="C59" i="5"/>
  <c r="D39" i="5"/>
  <c r="D38" i="5"/>
  <c r="C53" i="5"/>
  <c r="C90" i="5"/>
  <c r="F93" i="5"/>
  <c r="J93" i="5"/>
  <c r="G28" i="5"/>
  <c r="I28" i="5" s="1"/>
  <c r="F38" i="5"/>
  <c r="F91" i="5" s="1"/>
  <c r="D53" i="5"/>
  <c r="D90" i="5"/>
  <c r="C12" i="5"/>
  <c r="C22" i="5"/>
  <c r="C24" i="5" s="1"/>
  <c r="D59" i="5"/>
  <c r="E38" i="5"/>
  <c r="E91" i="5" s="1"/>
  <c r="E93" i="5" s="1"/>
  <c r="D22" i="4"/>
  <c r="C22" i="4" s="1"/>
  <c r="K22" i="4" s="1"/>
  <c r="E25" i="4"/>
  <c r="D25" i="4" s="1"/>
  <c r="I24" i="4"/>
  <c r="I25" i="4" s="1"/>
  <c r="L10" i="3"/>
  <c r="L35" i="3"/>
  <c r="L43" i="3" s="1"/>
  <c r="D43" i="3"/>
  <c r="D34" i="3"/>
  <c r="L16" i="3"/>
  <c r="L34" i="3" s="1"/>
  <c r="D10" i="3"/>
  <c r="I10" i="3"/>
  <c r="I48" i="3" s="1"/>
  <c r="D11" i="3"/>
  <c r="E43" i="3"/>
  <c r="D12" i="3"/>
  <c r="L12" i="3" s="1"/>
  <c r="E34" i="3"/>
  <c r="E48" i="3" s="1"/>
  <c r="D46" i="3"/>
  <c r="D18" i="2"/>
  <c r="G18" i="2"/>
  <c r="G82" i="2" s="1"/>
  <c r="G84" i="2" s="1"/>
  <c r="G89" i="2" s="1"/>
  <c r="C10" i="2"/>
  <c r="I82" i="2"/>
  <c r="D81" i="2"/>
  <c r="C91" i="2"/>
  <c r="C97" i="2"/>
  <c r="C110" i="2"/>
  <c r="I83" i="2"/>
  <c r="C114" i="2"/>
  <c r="C101" i="2" l="1"/>
  <c r="C95" i="2"/>
  <c r="D106" i="2"/>
  <c r="G106" i="2"/>
  <c r="C18" i="2"/>
  <c r="C82" i="2" s="1"/>
  <c r="I39" i="5"/>
  <c r="I38" i="5"/>
  <c r="I91" i="5" s="1"/>
  <c r="I93" i="5" s="1"/>
  <c r="G38" i="5"/>
  <c r="G91" i="5" s="1"/>
  <c r="G93" i="5" s="1"/>
  <c r="H38" i="5"/>
  <c r="H91" i="5" s="1"/>
  <c r="H93" i="5" s="1"/>
  <c r="G39" i="5"/>
  <c r="B31" i="8"/>
  <c r="F40" i="8"/>
  <c r="D82" i="2"/>
  <c r="D84" i="2" s="1"/>
  <c r="D89" i="2" s="1"/>
  <c r="B35" i="8"/>
  <c r="M42" i="6"/>
  <c r="C40" i="8"/>
  <c r="B40" i="8" s="1"/>
  <c r="J26" i="6"/>
  <c r="J48" i="6" s="1"/>
  <c r="E39" i="6"/>
  <c r="M39" i="6" s="1"/>
  <c r="M5" i="6"/>
  <c r="H24" i="6"/>
  <c r="H47" i="6"/>
  <c r="M47" i="6" s="1"/>
  <c r="M25" i="6"/>
  <c r="M21" i="6"/>
  <c r="D91" i="5"/>
  <c r="D93" i="5" s="1"/>
  <c r="C39" i="5"/>
  <c r="C38" i="5"/>
  <c r="C91" i="5" s="1"/>
  <c r="C93" i="5" s="1"/>
  <c r="C24" i="4"/>
  <c r="K24" i="4" s="1"/>
  <c r="C25" i="4"/>
  <c r="K25" i="4" s="1"/>
  <c r="D47" i="3"/>
  <c r="L46" i="3"/>
  <c r="L47" i="3" s="1"/>
  <c r="D15" i="3"/>
  <c r="D48" i="3" s="1"/>
  <c r="L11" i="3"/>
  <c r="L15" i="3" s="1"/>
  <c r="L48" i="3" s="1"/>
  <c r="C106" i="2"/>
  <c r="I84" i="2"/>
  <c r="I89" i="2" s="1"/>
  <c r="C83" i="2"/>
  <c r="C115" i="2"/>
  <c r="C84" i="2" l="1"/>
  <c r="C89" i="2" s="1"/>
  <c r="H46" i="6"/>
  <c r="M46" i="6" s="1"/>
  <c r="M24" i="6"/>
  <c r="H26" i="6"/>
  <c r="H48" i="6" l="1"/>
  <c r="M48" i="6" s="1"/>
  <c r="M26" i="6"/>
</calcChain>
</file>

<file path=xl/comments1.xml><?xml version="1.0" encoding="utf-8"?>
<comments xmlns="http://schemas.openxmlformats.org/spreadsheetml/2006/main">
  <authors>
    <author>Avratová Hana</author>
  </authors>
  <commentList>
    <comment ref="I71" authorId="0" shapeId="0">
      <text>
        <r>
          <rPr>
            <b/>
            <sz val="9"/>
            <color indexed="81"/>
            <rFont val="Tahoma"/>
            <family val="2"/>
            <charset val="238"/>
          </rPr>
          <t>Avratová Hana:</t>
        </r>
        <r>
          <rPr>
            <sz val="9"/>
            <color indexed="81"/>
            <rFont val="Tahoma"/>
            <family val="2"/>
            <charset val="238"/>
          </rPr>
          <t xml:space="preserve">
 zahrnuje odpisy 287630+261872 a razítka, změny adresy atd. 137000
</t>
        </r>
      </text>
    </comment>
  </commentList>
</comments>
</file>

<file path=xl/comments2.xml><?xml version="1.0" encoding="utf-8"?>
<comments xmlns="http://schemas.openxmlformats.org/spreadsheetml/2006/main">
  <authors>
    <author>Avratová Hana</author>
  </authors>
  <commentList>
    <comment ref="I80" authorId="0" shapeId="0">
      <text>
        <r>
          <rPr>
            <b/>
            <sz val="9"/>
            <color indexed="81"/>
            <rFont val="Tahoma"/>
            <family val="2"/>
            <charset val="238"/>
          </rPr>
          <t>Avratová Hana:</t>
        </r>
        <r>
          <rPr>
            <sz val="9"/>
            <color indexed="81"/>
            <rFont val="Tahoma"/>
            <family val="2"/>
            <charset val="238"/>
          </rPr>
          <t xml:space="preserve">
 zahrnuje odpisy 287630+261872 a razítka, změny adresy atd. 137000
</t>
        </r>
      </text>
    </comment>
  </commentList>
</comments>
</file>

<file path=xl/sharedStrings.xml><?xml version="1.0" encoding="utf-8"?>
<sst xmlns="http://schemas.openxmlformats.org/spreadsheetml/2006/main" count="732" uniqueCount="382">
  <si>
    <t>(údaje v Kč mimo počtu zaměstnanců)</t>
  </si>
  <si>
    <t>Kapitola 333 - MŠMT</t>
  </si>
  <si>
    <t>mzdový nárůst 3 %</t>
  </si>
  <si>
    <t>dorovnání do výdajů podle MF</t>
  </si>
  <si>
    <t>nárůst FKSP o 0,5 %</t>
  </si>
  <si>
    <t>posílení kulturního dědictví</t>
  </si>
  <si>
    <t>přesuny v kulturním dědictví</t>
  </si>
  <si>
    <t>metodické změny</t>
  </si>
  <si>
    <t>Schv. rozpočet</t>
  </si>
  <si>
    <t>Srovnatelná</t>
  </si>
  <si>
    <t>Vlivy</t>
  </si>
  <si>
    <t>CELKEM</t>
  </si>
  <si>
    <t>Schválený</t>
  </si>
  <si>
    <t>k 1.1.2015</t>
  </si>
  <si>
    <t>základna</t>
  </si>
  <si>
    <t>roku</t>
  </si>
  <si>
    <t>vlivy</t>
  </si>
  <si>
    <t>rozpočet</t>
  </si>
  <si>
    <t>oproti r. 2015</t>
  </si>
  <si>
    <t>S O U H R N N É    U K A Z A T E L E</t>
  </si>
  <si>
    <t xml:space="preserve">  Výdaje celkem</t>
  </si>
  <si>
    <t>SPECIFICKÉ UKAZATELE -  VÝDAJE CELKEM</t>
  </si>
  <si>
    <t>ostatní výdaje na zabezpečení úkolů resortu (vč. EDS/SMVS):</t>
  </si>
  <si>
    <t xml:space="preserve">                                v tom: společné úkoly</t>
  </si>
  <si>
    <t xml:space="preserve">                                             účelově vymezené úkoly</t>
  </si>
  <si>
    <t xml:space="preserve">                                             OPŘO kmenová činnost</t>
  </si>
  <si>
    <t xml:space="preserve">                                             OPŘO projekty</t>
  </si>
  <si>
    <t xml:space="preserve">                                             OPŘO ostatní</t>
  </si>
  <si>
    <t xml:space="preserve">                                             mezinárodní aktivity (mez. konference, vklady a příspěvky)</t>
  </si>
  <si>
    <t>PRŮŘEZOVÉ UKAZATELE</t>
  </si>
  <si>
    <t xml:space="preserve">  Ostatní běžné výdaje OSS</t>
  </si>
  <si>
    <t xml:space="preserve">    Limit mzdových nákladů PO (vč. RGŠ ÚSC)</t>
  </si>
  <si>
    <t xml:space="preserve">        v tom: prostředky na platy (vč. RGŠ ÚSC)</t>
  </si>
  <si>
    <t xml:space="preserve">                   ostatní osobní náklady (vč. RGŠ ÚSC)</t>
  </si>
  <si>
    <t xml:space="preserve">    Zákonné odvody pojistného PO (vč. RGŠ ÚSC)</t>
  </si>
  <si>
    <t xml:space="preserve">    Příděl FKSP PO (vč. RGŠ ÚSC)</t>
  </si>
  <si>
    <t xml:space="preserve">    Ostatní běžné výdaje PO (vč. RGŠ ÚSC)</t>
  </si>
  <si>
    <t xml:space="preserve">    Počet zaměstnanců PO (vč. RGŠ ÚSC)</t>
  </si>
  <si>
    <t xml:space="preserve">    Ostatní běžné výdaje PO - RGŠ ÚSC</t>
  </si>
  <si>
    <t xml:space="preserve">    Ostatní běžné výdaje mimo ost.běžné výdaje OSS a PO</t>
  </si>
  <si>
    <t>Výdaje vedené v informačním systému programového financování EDS/SMVS celkem</t>
  </si>
  <si>
    <t>Celkový rozpočet běžných výdajů oblasti OPŘO na r. 2016 - vyrovnaná bilance zdrojů a potřeb</t>
  </si>
  <si>
    <t>(údaje v Kč, mimo počet zaměstnanců)</t>
  </si>
  <si>
    <t>Příspěvek</t>
  </si>
  <si>
    <t>v tom</t>
  </si>
  <si>
    <t>Počet</t>
  </si>
  <si>
    <t>celkem</t>
  </si>
  <si>
    <t xml:space="preserve">MP </t>
  </si>
  <si>
    <t>z toho</t>
  </si>
  <si>
    <t>Odvody</t>
  </si>
  <si>
    <t>FKSP</t>
  </si>
  <si>
    <t>Ostatní běžné výdaje</t>
  </si>
  <si>
    <t>zaměst.</t>
  </si>
  <si>
    <t>Poznámka</t>
  </si>
  <si>
    <t xml:space="preserve">platy </t>
  </si>
  <si>
    <t xml:space="preserve">OON </t>
  </si>
  <si>
    <t>1.</t>
  </si>
  <si>
    <t>2.</t>
  </si>
  <si>
    <t>3.</t>
  </si>
  <si>
    <t>4.</t>
  </si>
  <si>
    <t>5.</t>
  </si>
  <si>
    <t>6.</t>
  </si>
  <si>
    <t>7.</t>
  </si>
  <si>
    <t>8.</t>
  </si>
  <si>
    <t>Kmenová činnost</t>
  </si>
  <si>
    <t>DZS</t>
  </si>
  <si>
    <t>NÚV</t>
  </si>
  <si>
    <t>NPMKK</t>
  </si>
  <si>
    <t>NTK</t>
  </si>
  <si>
    <t>KJWF</t>
  </si>
  <si>
    <t>NIDV</t>
  </si>
  <si>
    <t>CZVV</t>
  </si>
  <si>
    <t>PC Český Těšín</t>
  </si>
  <si>
    <t>Provoz celkem</t>
  </si>
  <si>
    <t xml:space="preserve">Společné úkoly </t>
  </si>
  <si>
    <t>Sekce I</t>
  </si>
  <si>
    <t>Sekce II</t>
  </si>
  <si>
    <t>Sekce III</t>
  </si>
  <si>
    <t>Sekce V, odb. 50</t>
  </si>
  <si>
    <t>Sekce V, odb. 51</t>
  </si>
  <si>
    <t>Sekce VI, odb. 63</t>
  </si>
  <si>
    <t>Sekce VI, odb. 64</t>
  </si>
  <si>
    <t>SÚ celkem</t>
  </si>
  <si>
    <t>Účelové prostředky</t>
  </si>
  <si>
    <t>ReferNet</t>
  </si>
  <si>
    <t>EUROPASS</t>
  </si>
  <si>
    <t>Pokusné ověřování Matematika+</t>
  </si>
  <si>
    <t>Pilotní ověřování přijímacího řízení na SŠ 2015</t>
  </si>
  <si>
    <t>Tisk pracovních sešitů Matermatika pro 6. a 7.ročník ZŠ v polštině</t>
  </si>
  <si>
    <t>PC ČT</t>
  </si>
  <si>
    <t>Evropská jazyková cena Label</t>
  </si>
  <si>
    <t>sek. II</t>
  </si>
  <si>
    <t>Evropské školy Brusel a Lucemburk</t>
  </si>
  <si>
    <t>Evropské školy Brusel a Lucemburk příp.zvolení ředitele</t>
  </si>
  <si>
    <t xml:space="preserve">Vzdělávací seminář pro české učitele "Jak vyučovat o holocaustu" </t>
  </si>
  <si>
    <t xml:space="preserve">Stipendia v programu AKTION </t>
  </si>
  <si>
    <t xml:space="preserve">Náklady na činnost NK CEEPUS </t>
  </si>
  <si>
    <t>Finalizace uložení, péče a ochrany knihovní fondu po přestěhování do nového sídla PK</t>
  </si>
  <si>
    <t>IPs - příprava projektů OP VVV</t>
  </si>
  <si>
    <t>NIDV a NÚV</t>
  </si>
  <si>
    <t>Účelové/ostatní prostředky celkem</t>
  </si>
  <si>
    <t>Cizinci (účelové prostředky)</t>
  </si>
  <si>
    <t>Systém výuky a zkoušek z českého jazyka pro cizince jako jedné z podmínek pro udělení trvalého pobytu (Čeština pro cizince)</t>
  </si>
  <si>
    <t>sek. II/NÚV</t>
  </si>
  <si>
    <t>Systém zkoušek z českých reálií pro účely udělení státního občanství ČR</t>
  </si>
  <si>
    <t>Integrace cizinců - Žáci cizinci ve školách</t>
  </si>
  <si>
    <t>Cizinci celkem</t>
  </si>
  <si>
    <t xml:space="preserve">Mezinárodní aktivity </t>
  </si>
  <si>
    <t>Mezinárodní konference</t>
  </si>
  <si>
    <t>odb. 64</t>
  </si>
  <si>
    <t>Příspěvky a vklady mezinárodním organizacím</t>
  </si>
  <si>
    <t xml:space="preserve">Stipendium Madeleine Albrightové na Univerzitě v Glasgow </t>
  </si>
  <si>
    <t>Komenského škola ve Vídni</t>
  </si>
  <si>
    <t>Stipendia občanů ČR v zahraničí</t>
  </si>
  <si>
    <t>Přijetí expertů</t>
  </si>
  <si>
    <t xml:space="preserve">Projekt Dijon, Nimes - úhrada stravování a ubytování českých žáků </t>
  </si>
  <si>
    <t>Projekt Pirna</t>
  </si>
  <si>
    <t>Mezinárodní aktivity celkem</t>
  </si>
  <si>
    <t xml:space="preserve">Projekty resortní </t>
  </si>
  <si>
    <t>Projekty udržitelnosti</t>
  </si>
  <si>
    <t>Prostředky u příkazce svodných rozp.operací</t>
  </si>
  <si>
    <t>Kurzové rozdíly</t>
  </si>
  <si>
    <t>Konsorciální poplatky</t>
  </si>
  <si>
    <t>DZS - navýšení o zam. sek. VI</t>
  </si>
  <si>
    <t>podle mzdové inventury + řešení AMVIA</t>
  </si>
  <si>
    <t>DZS - Věda bez hranic - sloučení se Study In</t>
  </si>
  <si>
    <t>NPMKK - provozní prostředky (odpisy, náklady souvisejí se stěhováním do nové budovy)</t>
  </si>
  <si>
    <t>Implementace Systému péče a podpory nadání v ČR (SPN) - PERUN</t>
  </si>
  <si>
    <t>NÚV - navýšení kmenové činnosti - Revizní pracoviště</t>
  </si>
  <si>
    <t>Mimořádné dotace</t>
  </si>
  <si>
    <t>Eurostudent - jen poplatek</t>
  </si>
  <si>
    <t>NIQES - ČŠI</t>
  </si>
  <si>
    <t>Neuznatelné výdaje IPn - odvod a penále</t>
  </si>
  <si>
    <t>Poplatky - soudní rozhodnutí</t>
  </si>
  <si>
    <t>sek. VII</t>
  </si>
  <si>
    <t>Společné úkoly u příkazce svodných rozp. operací</t>
  </si>
  <si>
    <t>Priority resortu realizované v r. 2016</t>
  </si>
  <si>
    <t>Nerozepsané prostředky celkem</t>
  </si>
  <si>
    <t xml:space="preserve">Potřeba celkem a návrh finančního zabezpečení </t>
  </si>
  <si>
    <t>Ukazatele rozpočtu OPŘO na rok 2016</t>
  </si>
  <si>
    <t>Porovnání možností a potřeb, rekapitulace finančního zabezpečení</t>
  </si>
  <si>
    <t>OPŘO</t>
  </si>
  <si>
    <t>Kulturní dědictví</t>
  </si>
  <si>
    <t>v případě použití NEURČENÉ rezervy KČ, by zbylo k volnému použití</t>
  </si>
  <si>
    <t>cca 27 LPZ z KP</t>
  </si>
  <si>
    <t>V rámci jiných částí rozpočtu kapitoly MŠMT</t>
  </si>
  <si>
    <t>WEB -  NIDV</t>
  </si>
  <si>
    <t>z Mládeže</t>
  </si>
  <si>
    <t xml:space="preserve">Soutěže - NIDV </t>
  </si>
  <si>
    <t>z Mládeže, (LPZ z RgŠ)</t>
  </si>
  <si>
    <t>NSK (navýšení)</t>
  </si>
  <si>
    <t>z RgŠ</t>
  </si>
  <si>
    <t>Celkem</t>
  </si>
  <si>
    <t>Z neprofilujících nároků</t>
  </si>
  <si>
    <t>Hodina pohybu navíc - NÚV</t>
  </si>
  <si>
    <t xml:space="preserve">sek.V </t>
  </si>
  <si>
    <t>Horizont 2020</t>
  </si>
  <si>
    <t>sek.III - refundace; objem bude upřesněn v průběhu 2016</t>
  </si>
  <si>
    <t>AMVIA</t>
  </si>
  <si>
    <t xml:space="preserve">DZS </t>
  </si>
  <si>
    <t xml:space="preserve">Reálie pro účely udělení státní občanství ČR navýšení </t>
  </si>
  <si>
    <t>Ze společného vzdělávání</t>
  </si>
  <si>
    <t>Projekty společného vzdělávání</t>
  </si>
  <si>
    <t>DVPP a Školská legislativa</t>
  </si>
  <si>
    <t xml:space="preserve">NIDV </t>
  </si>
  <si>
    <t>Celkem z jiných částí rozpočtu kapitoly MŠMT</t>
  </si>
  <si>
    <t>Nezajištěné úkoly</t>
  </si>
  <si>
    <t>NÚV - Archivace ukončených projektů s EU</t>
  </si>
  <si>
    <t>v r.2015 z NA</t>
  </si>
  <si>
    <t>NÚV - Autorská práva</t>
  </si>
  <si>
    <t>NÚV - Mezinárodní konference</t>
  </si>
  <si>
    <t>NÚV - IGIP (vklady a příspěvky)</t>
  </si>
  <si>
    <t>v r. 2015 sekce VI</t>
  </si>
  <si>
    <t>NIDV - Integrace cizinců - Žáci cizinci ve školách</t>
  </si>
  <si>
    <t>v r.2015 z MV</t>
  </si>
  <si>
    <t>Organizace</t>
  </si>
  <si>
    <t>Pořadí</t>
  </si>
  <si>
    <t>Název projektu</t>
  </si>
  <si>
    <t>Běžné výdaje celkem</t>
  </si>
  <si>
    <t>Výnosy celkem</t>
  </si>
  <si>
    <t>Příspěvek celkem</t>
  </si>
  <si>
    <t>Počet zaměstnanců</t>
  </si>
  <si>
    <t>Mzdové prostředky</t>
  </si>
  <si>
    <t>platy</t>
  </si>
  <si>
    <t>OON</t>
  </si>
  <si>
    <t>9.</t>
  </si>
  <si>
    <t>10.</t>
  </si>
  <si>
    <t>Cestovní náhrady do zahraničí</t>
  </si>
  <si>
    <t>Účast ČR v síti EUN</t>
  </si>
  <si>
    <t>Celkem DZS</t>
  </si>
  <si>
    <t>PMJAK</t>
  </si>
  <si>
    <t>Retrokonverze fondu PK 2321</t>
  </si>
  <si>
    <t>Zpřístupnění Archivu P. Pitra a O. Fierzové v souladu se současnými evropskými trendy sdílení dat v prostředí internetu</t>
  </si>
  <si>
    <t>Záchrana starých tisků a historických školních dokumentů a zařízení, včetně školních pomůcek</t>
  </si>
  <si>
    <t>Památník Hodonín - odborná a kulturně vzdělávací příprava scénáře a expozice na pietních místech areálu</t>
  </si>
  <si>
    <t>Celkem PMJAK</t>
  </si>
  <si>
    <t>Centrum fiktivních firem CEFIF</t>
  </si>
  <si>
    <t>Řízení a koordinace činnosti odborných a oborových skupin</t>
  </si>
  <si>
    <t>DV monitor</t>
  </si>
  <si>
    <t>Podpora rozvoje vzdělávání dospělých osob 50+ SENIOR</t>
  </si>
  <si>
    <t>Aktivity vyplývající z členství ČR v EU</t>
  </si>
  <si>
    <t>EQAVET</t>
  </si>
  <si>
    <t>Projekt EQF NCP</t>
  </si>
  <si>
    <t>Podíl na činnosti tematické pracovní skupiny EK - Profesní rozvoj lektorů v odborném vzdělávání (Ttnet)</t>
  </si>
  <si>
    <t>Vytváření standardů kvality péče o děti v zařízeních ústavní a ochranné výchovy a preventivně výchovné péče dle typů služeb</t>
  </si>
  <si>
    <t>Extrémní poruchy chování - EPCHO - vzdělávací a supervizní program pro pracoviště EPCHO v ČR</t>
  </si>
  <si>
    <t>11.</t>
  </si>
  <si>
    <t>Sebezkušenostní dlouhodobý výcvik pro vedení problémových třídních kolektivů II. a III.</t>
  </si>
  <si>
    <t>12.</t>
  </si>
  <si>
    <t>Sebezkušenostní výcvik pro pedagogické pracovníky (vychovatele)</t>
  </si>
  <si>
    <t>13.</t>
  </si>
  <si>
    <t>Standardy pro základní vzdělávání - souhrny metodických komentářů</t>
  </si>
  <si>
    <t>14.</t>
  </si>
  <si>
    <t>Hodnocení kvality ŠPZ: tvorba standardů ŠPZ (PPP, SPC) a příprava procesu certifikací</t>
  </si>
  <si>
    <t>15.</t>
  </si>
  <si>
    <t>Pokusné ověřování individuálního vzdělávání na 2. stupni ZŠ</t>
  </si>
  <si>
    <t>16.</t>
  </si>
  <si>
    <t>Komparativní výzkum výuky spojitého a nespojitého písma</t>
  </si>
  <si>
    <t>17.</t>
  </si>
  <si>
    <t>Šetření delikventního chování v zařízeních ÚV a OV</t>
  </si>
  <si>
    <t>18.</t>
  </si>
  <si>
    <t>Profilová část maturitní zkoušky - inovace materiálů</t>
  </si>
  <si>
    <t>Celkem NÚV</t>
  </si>
  <si>
    <t>CISKOM 2.0 - Příprava a realizace školení pro funkce definované školským zákonem pro zajišťující chod procesů maturitní zkoušky na školách</t>
  </si>
  <si>
    <t>2</t>
  </si>
  <si>
    <t>Podpora ZUŠ</t>
  </si>
  <si>
    <t>3</t>
  </si>
  <si>
    <t>Soutěže*)</t>
  </si>
  <si>
    <t>4</t>
  </si>
  <si>
    <t>Podpora témat vládních usnesení - Globální rozvojové vzdělávání</t>
  </si>
  <si>
    <t>5</t>
  </si>
  <si>
    <t>Významná historická výročí v letech 2014 - 2018 - 100. výročí I. světové války</t>
  </si>
  <si>
    <t>6</t>
  </si>
  <si>
    <t>Podpora implementace Strategie digitálního vzdělávání do roku 2020</t>
  </si>
  <si>
    <t>7</t>
  </si>
  <si>
    <t>Využívání digitálních technologií v jazykové výuce a podpora vícejazyčnosti ve školách</t>
  </si>
  <si>
    <t>8</t>
  </si>
  <si>
    <t>Podpora výuky matem na ZŠ</t>
  </si>
  <si>
    <t>Celkem NIDV</t>
  </si>
  <si>
    <t>Česko-polská prac.skupina pro učebnice</t>
  </si>
  <si>
    <t>Celkem PC ČT</t>
  </si>
  <si>
    <t xml:space="preserve">Hybridní Knihovna  </t>
  </si>
  <si>
    <t>Celkem  NTK</t>
  </si>
  <si>
    <t>*) včetně objemu zajištěného z rozpočtu Mládeže ve výši 384 900 Kč</t>
  </si>
  <si>
    <t>Udržitelnost projektů na rok 2016 - podle schválených plánů hlavních úkolů</t>
  </si>
  <si>
    <t>Název úkolu</t>
  </si>
  <si>
    <t>Počet zam.</t>
  </si>
  <si>
    <t xml:space="preserve">FKSP </t>
  </si>
  <si>
    <t>Metodický portál rvp.cz</t>
  </si>
  <si>
    <t>Zajištěno v rámci rozpočtu OPŘO</t>
  </si>
  <si>
    <t xml:space="preserve">Nová závěrečná zkouška </t>
  </si>
  <si>
    <t>Pospolu</t>
  </si>
  <si>
    <t>Zajišťování udržitelnosti projektu Kariérové poradenství v podmínkách kurikulární reformy (VIPII-KP)</t>
  </si>
  <si>
    <t>Pilot ZUŠ</t>
  </si>
  <si>
    <t xml:space="preserve">Kurikulum G </t>
  </si>
  <si>
    <t>NSK (bez navýšení)</t>
  </si>
  <si>
    <t>Cesta ke kvalitě</t>
  </si>
  <si>
    <t xml:space="preserve">UNIV 2 Kraje </t>
  </si>
  <si>
    <t xml:space="preserve">Koncept </t>
  </si>
  <si>
    <t>RŠPP</t>
  </si>
  <si>
    <t xml:space="preserve">CPIV </t>
  </si>
  <si>
    <t>NÚV zajištěno v OPŘO</t>
  </si>
  <si>
    <t>z rozpočtu RgŠ</t>
  </si>
  <si>
    <t xml:space="preserve">Celkem NÚV </t>
  </si>
  <si>
    <t>z rozpočtu Mládeže (mimo počet zaměstnanců)</t>
  </si>
  <si>
    <t>MP ze  SR</t>
  </si>
  <si>
    <t>IPs - NÚV</t>
  </si>
  <si>
    <t>IPs - NIDV</t>
  </si>
  <si>
    <t>Účelové prostředky celkem</t>
  </si>
  <si>
    <t>Projekty</t>
  </si>
  <si>
    <t>Projekty celkem</t>
  </si>
  <si>
    <t>Společné úkoly 50 % z celoroku</t>
  </si>
  <si>
    <t>Rozpisem uvolněné prostředky celkem</t>
  </si>
  <si>
    <t>z toho organizace</t>
  </si>
  <si>
    <t xml:space="preserve">Integrace cizinců - Žáci cizinci ve školách </t>
  </si>
  <si>
    <t xml:space="preserve">podle mzdové inventury + řešení AMVIA </t>
  </si>
  <si>
    <r>
      <t xml:space="preserve">Souhrnný přehled rozpisu rozpočtu </t>
    </r>
    <r>
      <rPr>
        <b/>
        <u/>
        <sz val="14"/>
        <rFont val="Arial CE"/>
        <charset val="238"/>
      </rPr>
      <t>nákladů a výnosů OPŘO na r. 2016</t>
    </r>
    <r>
      <rPr>
        <b/>
        <sz val="14"/>
        <rFont val="Arial CE"/>
        <charset val="238"/>
      </rPr>
      <t xml:space="preserve">  </t>
    </r>
    <r>
      <rPr>
        <b/>
        <sz val="14"/>
        <rFont val="Arial CE"/>
        <family val="2"/>
        <charset val="238"/>
      </rPr>
      <t>pro jednotlivé organizace</t>
    </r>
  </si>
  <si>
    <t>Ukazatele</t>
  </si>
  <si>
    <t xml:space="preserve">NTK </t>
  </si>
  <si>
    <t>Organizce OPŘO celkem</t>
  </si>
  <si>
    <t xml:space="preserve">Náklady celkem </t>
  </si>
  <si>
    <t>KMENOVÁ ČINNOST</t>
  </si>
  <si>
    <t xml:space="preserve">Výnosy celkem </t>
  </si>
  <si>
    <t>MP</t>
  </si>
  <si>
    <t>Odvody zdrav.a soc.</t>
  </si>
  <si>
    <t>Zapojení RF</t>
  </si>
  <si>
    <t>Zapojení FO na platy</t>
  </si>
  <si>
    <t>Náklady celkem</t>
  </si>
  <si>
    <t>Prostředky ze zahraničí</t>
  </si>
  <si>
    <t>Účelové úkoly *)</t>
  </si>
  <si>
    <t>CELKEM  návrh rozpisu</t>
  </si>
  <si>
    <t>Zapojlení RF</t>
  </si>
  <si>
    <t>*)</t>
  </si>
  <si>
    <t xml:space="preserve">DZS - Evropské školy Brusel a Lucemburk </t>
  </si>
  <si>
    <t>NÚV a NIDV - IPs - příprava projektů OP VVV</t>
  </si>
  <si>
    <t>Rozpočet výdajů státní správy na rok 2016</t>
  </si>
  <si>
    <t>dopady zákona o st. službě</t>
  </si>
  <si>
    <t>vlivy v EDS/SMVS</t>
  </si>
  <si>
    <t>úspory podle NNV</t>
  </si>
  <si>
    <t>přesun z OP na rezervu nezpůsobilých výdajů</t>
  </si>
  <si>
    <t>posílení na PISA a TIMS ČŠI</t>
  </si>
  <si>
    <t>nárůst zaměstanců v kmeni</t>
  </si>
  <si>
    <t>posílení platů státních úředníků o 2 %</t>
  </si>
  <si>
    <t>nárůst výdajů na FKSP</t>
  </si>
  <si>
    <t>přesun v položkách platů ČŠI ( 5011 a 5013)</t>
  </si>
  <si>
    <t xml:space="preserve">Srovnatelná </t>
  </si>
  <si>
    <t>ostatní výdaje na zabezpečení úkolů resortu:</t>
  </si>
  <si>
    <t xml:space="preserve">                                             státní správa</t>
  </si>
  <si>
    <t xml:space="preserve">  Platy zaměstnanců a ostatní platby za provedenou práci OSS</t>
  </si>
  <si>
    <t xml:space="preserve">        v tom: platy zaměstnanců v pracovním poměru OSS</t>
  </si>
  <si>
    <t xml:space="preserve">                   ostatní platby za provedenou práci OSS</t>
  </si>
  <si>
    <t xml:space="preserve">  Povinné pojistné placené zaměstnavatelem OSS</t>
  </si>
  <si>
    <t xml:space="preserve">  Převod fondu kulturních a sociálních potřeb OSS</t>
  </si>
  <si>
    <t xml:space="preserve">  Limit počtu zaměstnanců OSS</t>
  </si>
  <si>
    <t xml:space="preserve">  Platy zaměstnanců ve státní správě</t>
  </si>
  <si>
    <t xml:space="preserve">        v tom: ústřední orgán mimo spolufinancované projekty s EU a finanční mechanismy</t>
  </si>
  <si>
    <t xml:space="preserve">                   ČŠI</t>
  </si>
  <si>
    <t xml:space="preserve">                   Platy státních úředníků</t>
  </si>
  <si>
    <t xml:space="preserve">                       v tom: platy státních úředníků MŠMT</t>
  </si>
  <si>
    <t xml:space="preserve">                                 platy státních úředníků ČŠI</t>
  </si>
  <si>
    <t xml:space="preserve">   Ostatní platby za provedenou práci ve státní správě</t>
  </si>
  <si>
    <t xml:space="preserve">        v tom: ústřední orgán</t>
  </si>
  <si>
    <t xml:space="preserve">    Platy představitelů státní moci a některých orgánů</t>
  </si>
  <si>
    <t xml:space="preserve">    Limit počtu zaměstnanců ve státní správě</t>
  </si>
  <si>
    <t xml:space="preserve">        v tom: ústřední orgán (bez spolufinancovaných programů)</t>
  </si>
  <si>
    <t xml:space="preserve">                   ústřední orgán (bez spolufinancovaných programů) - podle služebního zákona</t>
  </si>
  <si>
    <t xml:space="preserve">                   ČŠI (bez spolufinancovaných programů)</t>
  </si>
  <si>
    <t xml:space="preserve">                   ČŠI (bez spolufinancovaných programů) - podle služebního zákona</t>
  </si>
  <si>
    <t>Rozpis rozpočtu běžných výdajů - státní správy na r. 2016 (bez EDS/SMVS)</t>
  </si>
  <si>
    <t>Běžné</t>
  </si>
  <si>
    <t>výdaje</t>
  </si>
  <si>
    <t>Ostatní</t>
  </si>
  <si>
    <t>Příjmy</t>
  </si>
  <si>
    <t>OPPP</t>
  </si>
  <si>
    <t>běž.výdaje</t>
  </si>
  <si>
    <t>prac.</t>
  </si>
  <si>
    <t>st.</t>
  </si>
  <si>
    <t>prac. poměr</t>
  </si>
  <si>
    <t>st. služba</t>
  </si>
  <si>
    <t>poměr</t>
  </si>
  <si>
    <t>služba</t>
  </si>
  <si>
    <t xml:space="preserve">Rozpis závazných ukazatelů </t>
  </si>
  <si>
    <t>MŠMT - odbor S2 - platy státní zaměstnanci</t>
  </si>
  <si>
    <t>MŠMT - odbor S2- náhrady</t>
  </si>
  <si>
    <t>MŠMT - odbor S2 -  školení zaměstnanců</t>
  </si>
  <si>
    <t>MŠMT - odbor S2 - dohody sekcí a AK celkem</t>
  </si>
  <si>
    <t>v tom Sekce I</t>
  </si>
  <si>
    <t xml:space="preserve">          Sekce II</t>
  </si>
  <si>
    <t xml:space="preserve">          Sekce III</t>
  </si>
  <si>
    <t xml:space="preserve">          Sekce V </t>
  </si>
  <si>
    <t xml:space="preserve">          Sekce VI</t>
  </si>
  <si>
    <t xml:space="preserve">          Odbor M3 - Akreditační komise </t>
  </si>
  <si>
    <t>Oddělení 700</t>
  </si>
  <si>
    <t>Oddělení 701 - zajištění ICT</t>
  </si>
  <si>
    <t>výdaje na zahr. cesty zaměstn. MŠMT</t>
  </si>
  <si>
    <t>Odbor 64 - dárkový sklad</t>
  </si>
  <si>
    <t>Odbor 64 - pohoštění  a drobné dary odboru</t>
  </si>
  <si>
    <t>Odbor 63 - pohoštění  a drobné dary odboru</t>
  </si>
  <si>
    <t>Odbor M3 - Akreditační komise</t>
  </si>
  <si>
    <t>příjmy - splátka EIB</t>
  </si>
  <si>
    <t>příjmy - ostatní</t>
  </si>
  <si>
    <t>MŠMT  c e l k e m</t>
  </si>
  <si>
    <t>ČŠI - provoz</t>
  </si>
  <si>
    <t>ČŠI - TIMSS PISA a jiné</t>
  </si>
  <si>
    <t>C e l k e m státní správa</t>
  </si>
  <si>
    <t>Nerozepsané MP</t>
  </si>
  <si>
    <t>Mimořádné potřeby MŠMT</t>
  </si>
  <si>
    <t>Prostředky ponechané u příkazce svodných rozp.opatř. celkem</t>
  </si>
  <si>
    <t>Potřeba celkem a návrh finančního zabezpečení</t>
  </si>
  <si>
    <t>Závazné ukazatele rozpočtu státní správy</t>
  </si>
  <si>
    <t>Rozpočet výdajů na ostatní programy na rok 2016</t>
  </si>
  <si>
    <t>(zahraniční rozvojová spolupráce, program podpory vzdělávání v jazycích národnostních menšin a multikulturní výchova, sociální prevence a prevence kriminality,</t>
  </si>
  <si>
    <t>protidrogová politika, integrace příslušníků romské komunity, apod.)</t>
  </si>
  <si>
    <t xml:space="preserve">           v tom: zahraniční rozvojová spolupráce</t>
  </si>
  <si>
    <t xml:space="preserve">                      program podpory vzdělávání  v jazycích národnostních menšin a multikulturní výchova</t>
  </si>
  <si>
    <t xml:space="preserve">                      program sociální prevence a prevence kriminality</t>
  </si>
  <si>
    <t xml:space="preserve">                      program protidrogové politiky</t>
  </si>
  <si>
    <t xml:space="preserve">                      podpora projektů integrace příslušníků romské komunity</t>
  </si>
  <si>
    <t>Rozpočet výdajů OPŘO, společné a účelově vymezené úkoly na rok 2016 (vč. zahraničních aktivit)</t>
  </si>
  <si>
    <t>Rozpočet resortních projektů na r. 2016 - podle schválených plánů hlavních úkolů</t>
  </si>
  <si>
    <t>CELKEM za rok 2016</t>
  </si>
  <si>
    <r>
      <t xml:space="preserve">Rozpis rozpočtu </t>
    </r>
    <r>
      <rPr>
        <b/>
        <u/>
        <sz val="12"/>
        <rFont val="Arial CE"/>
        <family val="2"/>
        <charset val="238"/>
      </rPr>
      <t xml:space="preserve">běžných výdajů, účelově vymezených úkolů, společných úkolů  </t>
    </r>
    <r>
      <rPr>
        <b/>
        <sz val="12"/>
        <rFont val="Arial CE"/>
        <family val="2"/>
        <charset val="238"/>
      </rPr>
      <t>OPŘO na r. 2016 dle pravidel stanovených v materiálu čj. 45074/2016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</si>
</sst>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00"/>
    <numFmt numFmtId="166" formatCode="0.0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sz val="11"/>
      <name val="Arial CE"/>
      <charset val="238"/>
    </font>
    <font>
      <sz val="11"/>
      <color indexed="8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sz val="10"/>
      <name val="Arial CE"/>
    </font>
    <font>
      <b/>
      <sz val="10"/>
      <name val="Arial CE"/>
      <charset val="238"/>
    </font>
    <font>
      <sz val="12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Arial CE"/>
      <family val="2"/>
      <charset val="238"/>
    </font>
    <font>
      <i/>
      <sz val="10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b/>
      <sz val="12"/>
      <color indexed="8"/>
      <name val="Arial CE"/>
      <charset val="238"/>
    </font>
    <font>
      <b/>
      <sz val="9"/>
      <name val="Arial CE"/>
      <charset val="238"/>
    </font>
    <font>
      <b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sz val="12"/>
      <name val="Arial CE"/>
      <family val="2"/>
      <charset val="238"/>
    </font>
    <font>
      <b/>
      <u/>
      <sz val="14"/>
      <name val="Arial CE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b/>
      <sz val="16"/>
      <color indexed="8"/>
      <name val="Arial CE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10"/>
      <name val="Arial CE"/>
      <charset val="238"/>
    </font>
    <font>
      <i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theme="1"/>
      <name val="Arial CE"/>
      <charset val="238"/>
    </font>
    <font>
      <sz val="10"/>
      <color theme="1"/>
      <name val="Arial CE"/>
      <charset val="238"/>
    </font>
    <font>
      <b/>
      <sz val="10"/>
      <color indexed="8"/>
      <name val="Arial CE"/>
      <charset val="238"/>
    </font>
    <font>
      <b/>
      <i/>
      <sz val="9"/>
      <name val="Arial CE"/>
      <charset val="238"/>
    </font>
    <font>
      <sz val="9"/>
      <color theme="1"/>
      <name val="Arial CE"/>
      <charset val="238"/>
    </font>
    <font>
      <b/>
      <sz val="9"/>
      <color indexed="8"/>
      <name val="Arial CE"/>
      <charset val="238"/>
    </font>
    <font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9"/>
      <color indexed="8"/>
      <name val="Arial CE"/>
      <charset val="238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9"/>
        <bgColor indexed="9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9" fillId="0" borderId="0"/>
    <xf numFmtId="0" fontId="15" fillId="0" borderId="0"/>
    <xf numFmtId="0" fontId="9" fillId="0" borderId="0"/>
    <xf numFmtId="0" fontId="9" fillId="0" borderId="0"/>
    <xf numFmtId="0" fontId="25" fillId="0" borderId="0"/>
    <xf numFmtId="0" fontId="15" fillId="0" borderId="0"/>
    <xf numFmtId="0" fontId="36" fillId="0" borderId="0"/>
    <xf numFmtId="0" fontId="15" fillId="0" borderId="0"/>
    <xf numFmtId="0" fontId="9" fillId="0" borderId="0"/>
  </cellStyleXfs>
  <cellXfs count="7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6" fillId="0" borderId="3" xfId="0" applyFont="1" applyBorder="1" applyAlignment="1">
      <alignment horizontal="center" textRotation="90" wrapText="1"/>
    </xf>
    <xf numFmtId="0" fontId="0" fillId="5" borderId="2" xfId="0" applyFill="1" applyBorder="1" applyAlignment="1">
      <alignment horizontal="center" textRotation="90" wrapText="1"/>
    </xf>
    <xf numFmtId="0" fontId="0" fillId="4" borderId="4" xfId="0" applyFill="1" applyBorder="1" applyAlignment="1">
      <alignment horizontal="center" textRotation="90" wrapText="1"/>
    </xf>
    <xf numFmtId="0" fontId="0" fillId="0" borderId="5" xfId="0" applyBorder="1"/>
    <xf numFmtId="0" fontId="0" fillId="4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4" fontId="7" fillId="4" borderId="13" xfId="0" applyNumberFormat="1" applyFont="1" applyFill="1" applyBorder="1"/>
    <xf numFmtId="4" fontId="7" fillId="4" borderId="14" xfId="0" applyNumberFormat="1" applyFont="1" applyFill="1" applyBorder="1"/>
    <xf numFmtId="4" fontId="7" fillId="4" borderId="15" xfId="0" applyNumberFormat="1" applyFont="1" applyFill="1" applyBorder="1"/>
    <xf numFmtId="4" fontId="7" fillId="4" borderId="16" xfId="0" applyNumberFormat="1" applyFont="1" applyFill="1" applyBorder="1"/>
    <xf numFmtId="4" fontId="7" fillId="5" borderId="14" xfId="0" applyNumberFormat="1" applyFont="1" applyFill="1" applyBorder="1"/>
    <xf numFmtId="4" fontId="7" fillId="4" borderId="17" xfId="0" applyNumberFormat="1" applyFont="1" applyFill="1" applyBorder="1"/>
    <xf numFmtId="4" fontId="7" fillId="5" borderId="18" xfId="0" applyNumberFormat="1" applyFont="1" applyFill="1" applyBorder="1"/>
    <xf numFmtId="4" fontId="0" fillId="0" borderId="18" xfId="0" applyNumberFormat="1" applyBorder="1"/>
    <xf numFmtId="4" fontId="0" fillId="0" borderId="18" xfId="0" applyNumberFormat="1" applyFill="1" applyBorder="1"/>
    <xf numFmtId="4" fontId="7" fillId="4" borderId="18" xfId="0" applyNumberFormat="1" applyFont="1" applyFill="1" applyBorder="1"/>
    <xf numFmtId="0" fontId="9" fillId="0" borderId="0" xfId="3"/>
    <xf numFmtId="0" fontId="11" fillId="0" borderId="0" xfId="3" applyFont="1" applyAlignment="1">
      <alignment wrapText="1"/>
    </xf>
    <xf numFmtId="0" fontId="0" fillId="0" borderId="0" xfId="0" applyAlignment="1">
      <alignment wrapText="1"/>
    </xf>
    <xf numFmtId="0" fontId="9" fillId="0" borderId="0" xfId="3" applyFont="1"/>
    <xf numFmtId="0" fontId="1" fillId="0" borderId="0" xfId="3" applyFont="1"/>
    <xf numFmtId="0" fontId="9" fillId="0" borderId="18" xfId="3" applyFont="1" applyBorder="1" applyAlignment="1">
      <alignment horizontal="right"/>
    </xf>
    <xf numFmtId="0" fontId="9" fillId="0" borderId="4" xfId="3" applyFont="1" applyBorder="1"/>
    <xf numFmtId="0" fontId="9" fillId="0" borderId="19" xfId="3" applyFont="1" applyBorder="1"/>
    <xf numFmtId="0" fontId="9" fillId="0" borderId="20" xfId="3" applyFont="1" applyBorder="1"/>
    <xf numFmtId="0" fontId="9" fillId="0" borderId="21" xfId="3" applyFont="1" applyBorder="1"/>
    <xf numFmtId="0" fontId="9" fillId="0" borderId="22" xfId="3" applyFont="1" applyBorder="1"/>
    <xf numFmtId="0" fontId="9" fillId="0" borderId="8" xfId="3" applyFont="1" applyBorder="1"/>
    <xf numFmtId="0" fontId="9" fillId="0" borderId="23" xfId="3" applyFont="1" applyBorder="1"/>
    <xf numFmtId="0" fontId="12" fillId="0" borderId="23" xfId="3" applyFont="1" applyBorder="1"/>
    <xf numFmtId="0" fontId="9" fillId="0" borderId="24" xfId="3" applyFont="1" applyBorder="1"/>
    <xf numFmtId="0" fontId="9" fillId="0" borderId="8" xfId="3" applyFont="1" applyBorder="1" applyAlignment="1">
      <alignment horizontal="center"/>
    </xf>
    <xf numFmtId="0" fontId="9" fillId="0" borderId="5" xfId="3" applyFont="1" applyBorder="1"/>
    <xf numFmtId="0" fontId="9" fillId="0" borderId="11" xfId="3" applyFont="1" applyBorder="1"/>
    <xf numFmtId="0" fontId="9" fillId="0" borderId="25" xfId="3" applyFont="1" applyBorder="1"/>
    <xf numFmtId="164" fontId="9" fillId="0" borderId="25" xfId="3" applyNumberFormat="1" applyFont="1" applyBorder="1"/>
    <xf numFmtId="0" fontId="9" fillId="0" borderId="26" xfId="3" applyFont="1" applyBorder="1"/>
    <xf numFmtId="0" fontId="9" fillId="0" borderId="1" xfId="3" applyFont="1" applyBorder="1"/>
    <xf numFmtId="0" fontId="9" fillId="0" borderId="27" xfId="3" applyFont="1" applyBorder="1" applyAlignment="1">
      <alignment horizontal="center"/>
    </xf>
    <xf numFmtId="0" fontId="9" fillId="0" borderId="28" xfId="3" applyFont="1" applyBorder="1" applyAlignment="1">
      <alignment horizontal="center"/>
    </xf>
    <xf numFmtId="0" fontId="12" fillId="0" borderId="28" xfId="3" applyFont="1" applyBorder="1" applyAlignment="1">
      <alignment horizontal="center"/>
    </xf>
    <xf numFmtId="0" fontId="9" fillId="0" borderId="27" xfId="3" applyFont="1" applyBorder="1"/>
    <xf numFmtId="0" fontId="13" fillId="0" borderId="0" xfId="3" applyFont="1" applyAlignment="1">
      <alignment horizontal="right"/>
    </xf>
    <xf numFmtId="0" fontId="14" fillId="0" borderId="5" xfId="3" applyFont="1" applyFill="1" applyBorder="1"/>
    <xf numFmtId="0" fontId="9" fillId="0" borderId="29" xfId="3" applyFont="1" applyBorder="1" applyAlignment="1">
      <alignment horizontal="center"/>
    </xf>
    <xf numFmtId="0" fontId="9" fillId="0" borderId="25" xfId="3" applyFont="1" applyBorder="1" applyAlignment="1">
      <alignment horizontal="center"/>
    </xf>
    <xf numFmtId="3" fontId="9" fillId="0" borderId="10" xfId="3" applyNumberFormat="1" applyFont="1" applyBorder="1" applyAlignment="1">
      <alignment horizontal="center"/>
    </xf>
    <xf numFmtId="3" fontId="9" fillId="0" borderId="25" xfId="3" applyNumberFormat="1" applyFont="1" applyBorder="1" applyAlignment="1">
      <alignment horizontal="center"/>
    </xf>
    <xf numFmtId="0" fontId="9" fillId="0" borderId="26" xfId="3" applyFont="1" applyBorder="1" applyAlignment="1">
      <alignment horizontal="center"/>
    </xf>
    <xf numFmtId="0" fontId="14" fillId="0" borderId="5" xfId="3" applyFont="1" applyBorder="1"/>
    <xf numFmtId="3" fontId="9" fillId="0" borderId="11" xfId="3" applyNumberFormat="1" applyFont="1" applyBorder="1" applyAlignment="1">
      <alignment horizontal="right"/>
    </xf>
    <xf numFmtId="3" fontId="9" fillId="0" borderId="25" xfId="3" applyNumberFormat="1" applyFont="1" applyBorder="1" applyAlignment="1">
      <alignment horizontal="right"/>
    </xf>
    <xf numFmtId="3" fontId="12" fillId="0" borderId="10" xfId="0" applyNumberFormat="1" applyFont="1" applyFill="1" applyBorder="1"/>
    <xf numFmtId="2" fontId="9" fillId="0" borderId="26" xfId="3" applyNumberFormat="1" applyFont="1" applyBorder="1" applyAlignment="1">
      <alignment horizontal="right"/>
    </xf>
    <xf numFmtId="3" fontId="9" fillId="0" borderId="25" xfId="3" applyNumberFormat="1" applyFont="1" applyFill="1" applyBorder="1" applyAlignment="1">
      <alignment horizontal="right"/>
    </xf>
    <xf numFmtId="0" fontId="14" fillId="0" borderId="5" xfId="0" applyFont="1" applyBorder="1"/>
    <xf numFmtId="2" fontId="9" fillId="0" borderId="26" xfId="3" applyNumberFormat="1" applyFont="1" applyFill="1" applyBorder="1" applyAlignment="1">
      <alignment horizontal="right"/>
    </xf>
    <xf numFmtId="0" fontId="9" fillId="0" borderId="11" xfId="3" applyFont="1" applyFill="1" applyBorder="1"/>
    <xf numFmtId="0" fontId="14" fillId="0" borderId="30" xfId="3" applyFont="1" applyFill="1" applyBorder="1"/>
    <xf numFmtId="3" fontId="9" fillId="0" borderId="31" xfId="3" applyNumberFormat="1" applyFont="1" applyBorder="1"/>
    <xf numFmtId="3" fontId="9" fillId="0" borderId="32" xfId="3" applyNumberFormat="1" applyFont="1" applyBorder="1"/>
    <xf numFmtId="3" fontId="9" fillId="0" borderId="33" xfId="4" applyNumberFormat="1" applyFont="1" applyBorder="1"/>
    <xf numFmtId="2" fontId="9" fillId="0" borderId="34" xfId="3" applyNumberFormat="1" applyFont="1" applyBorder="1"/>
    <xf numFmtId="2" fontId="9" fillId="0" borderId="31" xfId="3" applyNumberFormat="1" applyFont="1" applyBorder="1"/>
    <xf numFmtId="0" fontId="11" fillId="0" borderId="5" xfId="3" applyFont="1" applyBorder="1"/>
    <xf numFmtId="3" fontId="9" fillId="0" borderId="11" xfId="3" applyNumberFormat="1" applyFont="1" applyBorder="1"/>
    <xf numFmtId="3" fontId="9" fillId="0" borderId="25" xfId="3" applyNumberFormat="1" applyFont="1" applyBorder="1"/>
    <xf numFmtId="165" fontId="9" fillId="0" borderId="25" xfId="4" applyNumberFormat="1" applyFont="1" applyBorder="1"/>
    <xf numFmtId="3" fontId="9" fillId="0" borderId="25" xfId="4" applyNumberFormat="1" applyFont="1" applyBorder="1"/>
    <xf numFmtId="2" fontId="9" fillId="0" borderId="26" xfId="3" applyNumberFormat="1" applyFont="1" applyBorder="1"/>
    <xf numFmtId="2" fontId="9" fillId="0" borderId="11" xfId="3" applyNumberFormat="1" applyFont="1" applyBorder="1"/>
    <xf numFmtId="3" fontId="9" fillId="0" borderId="10" xfId="4" applyNumberFormat="1" applyFont="1" applyBorder="1"/>
    <xf numFmtId="0" fontId="14" fillId="0" borderId="35" xfId="0" applyFont="1" applyFill="1" applyBorder="1"/>
    <xf numFmtId="3" fontId="9" fillId="0" borderId="36" xfId="3" applyNumberFormat="1" applyFont="1" applyFill="1" applyBorder="1"/>
    <xf numFmtId="3" fontId="9" fillId="0" borderId="37" xfId="3" applyNumberFormat="1" applyFont="1" applyFill="1" applyBorder="1"/>
    <xf numFmtId="2" fontId="9" fillId="0" borderId="38" xfId="3" applyNumberFormat="1" applyFont="1" applyFill="1" applyBorder="1"/>
    <xf numFmtId="3" fontId="16" fillId="0" borderId="31" xfId="3" applyNumberFormat="1" applyFont="1" applyFill="1" applyBorder="1"/>
    <xf numFmtId="3" fontId="16" fillId="0" borderId="33" xfId="3" applyNumberFormat="1" applyFont="1" applyBorder="1"/>
    <xf numFmtId="3" fontId="16" fillId="0" borderId="32" xfId="3" applyNumberFormat="1" applyFont="1" applyBorder="1"/>
    <xf numFmtId="2" fontId="16" fillId="0" borderId="34" xfId="3" applyNumberFormat="1" applyFont="1" applyBorder="1"/>
    <xf numFmtId="0" fontId="14" fillId="0" borderId="39" xfId="3" applyFont="1" applyFill="1" applyBorder="1"/>
    <xf numFmtId="3" fontId="9" fillId="0" borderId="40" xfId="3" applyNumberFormat="1" applyFont="1" applyFill="1" applyBorder="1"/>
    <xf numFmtId="3" fontId="9" fillId="0" borderId="41" xfId="3" applyNumberFormat="1" applyFont="1" applyBorder="1"/>
    <xf numFmtId="2" fontId="9" fillId="0" borderId="42" xfId="3" applyNumberFormat="1" applyFont="1" applyBorder="1"/>
    <xf numFmtId="2" fontId="9" fillId="0" borderId="40" xfId="3" applyNumberFormat="1" applyFont="1" applyBorder="1"/>
    <xf numFmtId="0" fontId="9" fillId="0" borderId="0" xfId="3" applyFont="1" applyAlignment="1">
      <alignment horizontal="right"/>
    </xf>
    <xf numFmtId="3" fontId="16" fillId="0" borderId="11" xfId="3" applyNumberFormat="1" applyFont="1" applyBorder="1"/>
    <xf numFmtId="3" fontId="16" fillId="0" borderId="25" xfId="3" applyNumberFormat="1" applyFont="1" applyBorder="1"/>
    <xf numFmtId="2" fontId="16" fillId="0" borderId="26" xfId="3" applyNumberFormat="1" applyFont="1" applyBorder="1"/>
    <xf numFmtId="0" fontId="9" fillId="0" borderId="0" xfId="3" applyFill="1"/>
    <xf numFmtId="0" fontId="11" fillId="0" borderId="35" xfId="3" applyFont="1" applyFill="1" applyBorder="1" applyAlignment="1">
      <alignment wrapText="1"/>
    </xf>
    <xf numFmtId="166" fontId="9" fillId="0" borderId="36" xfId="3" applyNumberFormat="1" applyFont="1" applyFill="1" applyBorder="1" applyAlignment="1">
      <alignment wrapText="1"/>
    </xf>
    <xf numFmtId="0" fontId="12" fillId="0" borderId="35" xfId="3" applyFont="1" applyFill="1" applyBorder="1" applyAlignment="1">
      <alignment wrapText="1"/>
    </xf>
    <xf numFmtId="166" fontId="12" fillId="0" borderId="36" xfId="3" applyNumberFormat="1" applyFont="1" applyFill="1" applyBorder="1" applyAlignment="1">
      <alignment wrapText="1"/>
    </xf>
    <xf numFmtId="0" fontId="14" fillId="0" borderId="1" xfId="3" applyFont="1" applyFill="1" applyBorder="1" applyAlignment="1">
      <alignment wrapText="1"/>
    </xf>
    <xf numFmtId="3" fontId="16" fillId="0" borderId="27" xfId="3" applyNumberFormat="1" applyFont="1" applyFill="1" applyBorder="1"/>
    <xf numFmtId="3" fontId="16" fillId="0" borderId="43" xfId="3" applyNumberFormat="1" applyFont="1" applyFill="1" applyBorder="1"/>
    <xf numFmtId="2" fontId="16" fillId="0" borderId="44" xfId="3" applyNumberFormat="1" applyFont="1" applyFill="1" applyBorder="1"/>
    <xf numFmtId="166" fontId="16" fillId="0" borderId="27" xfId="3" applyNumberFormat="1" applyFont="1" applyFill="1" applyBorder="1" applyAlignment="1">
      <alignment wrapText="1"/>
    </xf>
    <xf numFmtId="0" fontId="14" fillId="0" borderId="35" xfId="3" applyFont="1" applyFill="1" applyBorder="1" applyAlignment="1">
      <alignment wrapText="1"/>
    </xf>
    <xf numFmtId="0" fontId="14" fillId="0" borderId="45" xfId="3" applyFont="1" applyFill="1" applyBorder="1" applyAlignment="1">
      <alignment wrapText="1"/>
    </xf>
    <xf numFmtId="3" fontId="16" fillId="0" borderId="46" xfId="3" applyNumberFormat="1" applyFont="1" applyFill="1" applyBorder="1"/>
    <xf numFmtId="3" fontId="16" fillId="0" borderId="47" xfId="3" applyNumberFormat="1" applyFont="1" applyFill="1" applyBorder="1"/>
    <xf numFmtId="3" fontId="16" fillId="0" borderId="48" xfId="3" applyNumberFormat="1" applyFont="1" applyBorder="1"/>
    <xf numFmtId="3" fontId="16" fillId="0" borderId="49" xfId="4" applyNumberFormat="1" applyFont="1" applyFill="1" applyBorder="1"/>
    <xf numFmtId="3" fontId="16" fillId="0" borderId="48" xfId="3" applyNumberFormat="1" applyFont="1" applyFill="1" applyBorder="1"/>
    <xf numFmtId="2" fontId="16" fillId="0" borderId="50" xfId="3" applyNumberFormat="1" applyFont="1" applyFill="1" applyBorder="1"/>
    <xf numFmtId="166" fontId="16" fillId="0" borderId="46" xfId="3" applyNumberFormat="1" applyFont="1" applyFill="1" applyBorder="1" applyAlignment="1">
      <alignment wrapText="1"/>
    </xf>
    <xf numFmtId="3" fontId="9" fillId="0" borderId="3" xfId="0" applyNumberFormat="1" applyFont="1" applyFill="1" applyBorder="1"/>
    <xf numFmtId="2" fontId="12" fillId="0" borderId="36" xfId="3" applyNumberFormat="1" applyFont="1" applyBorder="1" applyAlignment="1">
      <alignment wrapText="1"/>
    </xf>
    <xf numFmtId="166" fontId="12" fillId="0" borderId="36" xfId="3" applyNumberFormat="1" applyFont="1" applyFill="1" applyBorder="1"/>
    <xf numFmtId="0" fontId="12" fillId="0" borderId="18" xfId="3" applyFont="1" applyFill="1" applyBorder="1"/>
    <xf numFmtId="3" fontId="9" fillId="0" borderId="4" xfId="3" applyNumberFormat="1" applyFont="1" applyFill="1" applyBorder="1"/>
    <xf numFmtId="3" fontId="9" fillId="0" borderId="20" xfId="3" applyNumberFormat="1" applyFont="1" applyFill="1" applyBorder="1"/>
    <xf numFmtId="3" fontId="9" fillId="0" borderId="3" xfId="4" applyNumberFormat="1" applyFont="1" applyFill="1" applyBorder="1"/>
    <xf numFmtId="3" fontId="9" fillId="0" borderId="20" xfId="4" applyNumberFormat="1" applyFont="1" applyFill="1" applyBorder="1"/>
    <xf numFmtId="2" fontId="9" fillId="0" borderId="21" xfId="3" applyNumberFormat="1" applyFont="1" applyFill="1" applyBorder="1"/>
    <xf numFmtId="166" fontId="12" fillId="0" borderId="4" xfId="3" applyNumberFormat="1" applyFont="1" applyFill="1" applyBorder="1"/>
    <xf numFmtId="166" fontId="9" fillId="0" borderId="36" xfId="3" applyNumberFormat="1" applyFont="1" applyFill="1" applyBorder="1"/>
    <xf numFmtId="166" fontId="9" fillId="0" borderId="4" xfId="3" applyNumberFormat="1" applyFont="1" applyFill="1" applyBorder="1" applyAlignment="1">
      <alignment wrapText="1"/>
    </xf>
    <xf numFmtId="0" fontId="11" fillId="0" borderId="16" xfId="3" applyFont="1" applyFill="1" applyBorder="1"/>
    <xf numFmtId="3" fontId="9" fillId="0" borderId="16" xfId="4" applyNumberFormat="1" applyFont="1" applyFill="1" applyBorder="1"/>
    <xf numFmtId="3" fontId="9" fillId="0" borderId="37" xfId="4" applyNumberFormat="1" applyFont="1" applyFill="1" applyBorder="1"/>
    <xf numFmtId="166" fontId="9" fillId="0" borderId="38" xfId="3" applyNumberFormat="1" applyFont="1" applyFill="1" applyBorder="1"/>
    <xf numFmtId="0" fontId="11" fillId="0" borderId="3" xfId="3" applyFont="1" applyFill="1" applyBorder="1" applyAlignment="1">
      <alignment wrapText="1"/>
    </xf>
    <xf numFmtId="0" fontId="13" fillId="0" borderId="0" xfId="3" applyFont="1" applyFill="1" applyAlignment="1">
      <alignment horizontal="right"/>
    </xf>
    <xf numFmtId="0" fontId="14" fillId="0" borderId="30" xfId="3" applyFont="1" applyBorder="1"/>
    <xf numFmtId="3" fontId="16" fillId="0" borderId="51" xfId="3" applyNumberFormat="1" applyFont="1" applyFill="1" applyBorder="1"/>
    <xf numFmtId="3" fontId="16" fillId="0" borderId="33" xfId="3" applyNumberFormat="1" applyFont="1" applyFill="1" applyBorder="1"/>
    <xf numFmtId="3" fontId="16" fillId="0" borderId="52" xfId="3" applyNumberFormat="1" applyFont="1" applyFill="1" applyBorder="1"/>
    <xf numFmtId="4" fontId="16" fillId="0" borderId="34" xfId="3" applyNumberFormat="1" applyFont="1" applyFill="1" applyBorder="1"/>
    <xf numFmtId="166" fontId="9" fillId="0" borderId="31" xfId="3" applyNumberFormat="1" applyFont="1" applyBorder="1"/>
    <xf numFmtId="0" fontId="14" fillId="0" borderId="53" xfId="3" applyFont="1" applyBorder="1"/>
    <xf numFmtId="3" fontId="16" fillId="0" borderId="54" xfId="3" applyNumberFormat="1" applyFont="1" applyBorder="1" applyAlignment="1">
      <alignment horizontal="right"/>
    </xf>
    <xf numFmtId="3" fontId="16" fillId="0" borderId="48" xfId="3" applyNumberFormat="1" applyFont="1" applyBorder="1" applyAlignment="1">
      <alignment horizontal="right"/>
    </xf>
    <xf numFmtId="3" fontId="16" fillId="0" borderId="49" xfId="3" applyNumberFormat="1" applyFont="1" applyFill="1" applyBorder="1" applyAlignment="1">
      <alignment horizontal="right"/>
    </xf>
    <xf numFmtId="4" fontId="16" fillId="0" borderId="50" xfId="3" applyNumberFormat="1" applyFont="1" applyBorder="1" applyAlignment="1">
      <alignment horizontal="right"/>
    </xf>
    <xf numFmtId="4" fontId="16" fillId="0" borderId="54" xfId="3" applyNumberFormat="1" applyFont="1" applyBorder="1"/>
    <xf numFmtId="0" fontId="11" fillId="4" borderId="35" xfId="3" applyFont="1" applyFill="1" applyBorder="1"/>
    <xf numFmtId="3" fontId="17" fillId="4" borderId="36" xfId="3" applyNumberFormat="1" applyFont="1" applyFill="1" applyBorder="1"/>
    <xf numFmtId="3" fontId="17" fillId="4" borderId="37" xfId="3" applyNumberFormat="1" applyFont="1" applyFill="1" applyBorder="1"/>
    <xf numFmtId="3" fontId="18" fillId="4" borderId="37" xfId="3" applyNumberFormat="1" applyFont="1" applyFill="1" applyBorder="1"/>
    <xf numFmtId="4" fontId="18" fillId="4" borderId="38" xfId="3" applyNumberFormat="1" applyFont="1" applyFill="1" applyBorder="1"/>
    <xf numFmtId="4" fontId="17" fillId="4" borderId="36" xfId="3" applyNumberFormat="1" applyFont="1" applyFill="1" applyBorder="1"/>
    <xf numFmtId="0" fontId="13" fillId="0" borderId="0" xfId="3" applyFont="1" applyFill="1" applyAlignment="1">
      <alignment horizontal="right" vertical="top"/>
    </xf>
    <xf numFmtId="0" fontId="14" fillId="0" borderId="53" xfId="3" applyFont="1" applyBorder="1" applyAlignment="1">
      <alignment wrapText="1"/>
    </xf>
    <xf numFmtId="3" fontId="16" fillId="0" borderId="54" xfId="3" applyNumberFormat="1" applyFont="1" applyBorder="1"/>
    <xf numFmtId="4" fontId="16" fillId="0" borderId="50" xfId="3" applyNumberFormat="1" applyFont="1" applyBorder="1"/>
    <xf numFmtId="0" fontId="14" fillId="0" borderId="5" xfId="3" applyFont="1" applyBorder="1" applyAlignment="1">
      <alignment wrapText="1"/>
    </xf>
    <xf numFmtId="3" fontId="16" fillId="0" borderId="0" xfId="3" applyNumberFormat="1" applyFont="1" applyBorder="1"/>
    <xf numFmtId="3" fontId="16" fillId="0" borderId="0" xfId="3" applyNumberFormat="1" applyFont="1" applyFill="1" applyBorder="1"/>
    <xf numFmtId="4" fontId="16" fillId="0" borderId="0" xfId="3" applyNumberFormat="1" applyFont="1" applyBorder="1"/>
    <xf numFmtId="4" fontId="16" fillId="0" borderId="25" xfId="3" applyNumberFormat="1" applyFont="1" applyBorder="1"/>
    <xf numFmtId="0" fontId="12" fillId="0" borderId="5" xfId="3" applyFont="1" applyBorder="1"/>
    <xf numFmtId="3" fontId="9" fillId="0" borderId="0" xfId="3" applyNumberFormat="1" applyFont="1" applyBorder="1"/>
    <xf numFmtId="2" fontId="9" fillId="0" borderId="0" xfId="3" applyNumberFormat="1" applyFont="1" applyBorder="1"/>
    <xf numFmtId="3" fontId="9" fillId="0" borderId="0" xfId="3" applyNumberFormat="1"/>
    <xf numFmtId="0" fontId="14" fillId="6" borderId="53" xfId="3" applyFont="1" applyFill="1" applyBorder="1" applyAlignment="1">
      <alignment wrapText="1"/>
    </xf>
    <xf numFmtId="3" fontId="16" fillId="6" borderId="54" xfId="3" applyNumberFormat="1" applyFont="1" applyFill="1" applyBorder="1"/>
    <xf numFmtId="3" fontId="16" fillId="6" borderId="48" xfId="3" applyNumberFormat="1" applyFont="1" applyFill="1" applyBorder="1"/>
    <xf numFmtId="2" fontId="16" fillId="6" borderId="50" xfId="3" applyNumberFormat="1" applyFont="1" applyFill="1" applyBorder="1"/>
    <xf numFmtId="166" fontId="16" fillId="6" borderId="48" xfId="3" applyNumberFormat="1" applyFont="1" applyFill="1" applyBorder="1" applyAlignment="1">
      <alignment wrapText="1"/>
    </xf>
    <xf numFmtId="0" fontId="14" fillId="0" borderId="55" xfId="3" applyFont="1" applyFill="1" applyBorder="1"/>
    <xf numFmtId="0" fontId="9" fillId="0" borderId="29" xfId="3" applyFont="1" applyBorder="1"/>
    <xf numFmtId="0" fontId="9" fillId="0" borderId="56" xfId="3" applyFont="1" applyBorder="1"/>
    <xf numFmtId="0" fontId="9" fillId="0" borderId="57" xfId="3" applyFont="1" applyBorder="1"/>
    <xf numFmtId="0" fontId="9" fillId="0" borderId="58" xfId="3" applyFont="1" applyBorder="1"/>
    <xf numFmtId="3" fontId="9" fillId="0" borderId="59" xfId="3" applyNumberFormat="1" applyFont="1" applyFill="1" applyBorder="1"/>
    <xf numFmtId="3" fontId="9" fillId="0" borderId="16" xfId="3" applyNumberFormat="1" applyFont="1" applyFill="1" applyBorder="1"/>
    <xf numFmtId="0" fontId="11" fillId="0" borderId="3" xfId="0" applyFont="1" applyFill="1" applyBorder="1"/>
    <xf numFmtId="3" fontId="9" fillId="0" borderId="60" xfId="3" applyNumberFormat="1" applyFont="1" applyFill="1" applyBorder="1"/>
    <xf numFmtId="3" fontId="9" fillId="0" borderId="3" xfId="3" applyNumberFormat="1" applyFont="1" applyFill="1" applyBorder="1"/>
    <xf numFmtId="166" fontId="9" fillId="0" borderId="21" xfId="3" applyNumberFormat="1" applyFont="1" applyFill="1" applyBorder="1"/>
    <xf numFmtId="166" fontId="12" fillId="0" borderId="4" xfId="3" applyNumberFormat="1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3" fontId="9" fillId="0" borderId="20" xfId="3" applyNumberFormat="1" applyFont="1" applyBorder="1"/>
    <xf numFmtId="2" fontId="9" fillId="0" borderId="21" xfId="0" applyNumberFormat="1" applyFont="1" applyFill="1" applyBorder="1"/>
    <xf numFmtId="0" fontId="11" fillId="0" borderId="16" xfId="0" applyFont="1" applyFill="1" applyBorder="1"/>
    <xf numFmtId="3" fontId="9" fillId="0" borderId="16" xfId="3" applyNumberFormat="1" applyFont="1" applyBorder="1"/>
    <xf numFmtId="0" fontId="14" fillId="0" borderId="1" xfId="3" applyFont="1" applyFill="1" applyBorder="1"/>
    <xf numFmtId="3" fontId="16" fillId="0" borderId="61" xfId="3" applyNumberFormat="1" applyFont="1" applyFill="1" applyBorder="1"/>
    <xf numFmtId="3" fontId="16" fillId="0" borderId="12" xfId="3" applyNumberFormat="1" applyFont="1" applyBorder="1"/>
    <xf numFmtId="3" fontId="16" fillId="0" borderId="12" xfId="3" applyNumberFormat="1" applyFont="1" applyFill="1" applyBorder="1"/>
    <xf numFmtId="2" fontId="16" fillId="0" borderId="62" xfId="3" applyNumberFormat="1" applyFont="1" applyFill="1" applyBorder="1"/>
    <xf numFmtId="166" fontId="12" fillId="0" borderId="46" xfId="3" applyNumberFormat="1" applyFont="1" applyFill="1" applyBorder="1" applyAlignment="1">
      <alignment wrapText="1"/>
    </xf>
    <xf numFmtId="3" fontId="9" fillId="0" borderId="63" xfId="3" applyNumberFormat="1" applyFont="1" applyFill="1" applyBorder="1"/>
    <xf numFmtId="3" fontId="9" fillId="0" borderId="10" xfId="3" applyNumberFormat="1" applyFont="1" applyFill="1" applyBorder="1"/>
    <xf numFmtId="166" fontId="9" fillId="0" borderId="26" xfId="3" applyNumberFormat="1" applyFont="1" applyFill="1" applyBorder="1"/>
    <xf numFmtId="166" fontId="9" fillId="0" borderId="11" xfId="3" applyNumberFormat="1" applyFont="1" applyFill="1" applyBorder="1" applyAlignment="1">
      <alignment wrapText="1"/>
    </xf>
    <xf numFmtId="3" fontId="16" fillId="0" borderId="64" xfId="3" applyNumberFormat="1" applyFont="1" applyFill="1" applyBorder="1"/>
    <xf numFmtId="3" fontId="16" fillId="0" borderId="28" xfId="3" applyNumberFormat="1" applyFont="1" applyFill="1" applyBorder="1"/>
    <xf numFmtId="166" fontId="16" fillId="0" borderId="27" xfId="3" applyNumberFormat="1" applyFont="1" applyFill="1" applyBorder="1"/>
    <xf numFmtId="0" fontId="11" fillId="0" borderId="38" xfId="3" applyFont="1" applyFill="1" applyBorder="1" applyAlignment="1">
      <alignment wrapText="1"/>
    </xf>
    <xf numFmtId="0" fontId="14" fillId="7" borderId="1" xfId="3" applyFont="1" applyFill="1" applyBorder="1" applyAlignment="1">
      <alignment wrapText="1"/>
    </xf>
    <xf numFmtId="3" fontId="16" fillId="7" borderId="64" xfId="3" applyNumberFormat="1" applyFont="1" applyFill="1" applyBorder="1"/>
    <xf numFmtId="3" fontId="16" fillId="7" borderId="28" xfId="3" applyNumberFormat="1" applyFont="1" applyFill="1" applyBorder="1"/>
    <xf numFmtId="2" fontId="16" fillId="7" borderId="44" xfId="3" applyNumberFormat="1" applyFont="1" applyFill="1" applyBorder="1"/>
    <xf numFmtId="166" fontId="16" fillId="7" borderId="27" xfId="3" applyNumberFormat="1" applyFont="1" applyFill="1" applyBorder="1" applyAlignment="1">
      <alignment wrapText="1"/>
    </xf>
    <xf numFmtId="0" fontId="11" fillId="0" borderId="5" xfId="3" applyFont="1" applyFill="1" applyBorder="1" applyAlignment="1">
      <alignment wrapText="1"/>
    </xf>
    <xf numFmtId="3" fontId="9" fillId="0" borderId="0" xfId="3" applyNumberFormat="1" applyFont="1" applyFill="1" applyBorder="1"/>
    <xf numFmtId="3" fontId="9" fillId="0" borderId="65" xfId="3" applyNumberFormat="1" applyFont="1" applyFill="1" applyBorder="1"/>
    <xf numFmtId="3" fontId="9" fillId="0" borderId="65" xfId="4" applyNumberFormat="1" applyFont="1" applyFill="1" applyBorder="1"/>
    <xf numFmtId="2" fontId="9" fillId="0" borderId="66" xfId="3" applyNumberFormat="1" applyFont="1" applyFill="1" applyBorder="1"/>
    <xf numFmtId="166" fontId="9" fillId="0" borderId="11" xfId="3" applyNumberFormat="1" applyFont="1" applyFill="1" applyBorder="1"/>
    <xf numFmtId="0" fontId="14" fillId="0" borderId="5" xfId="3" applyFont="1" applyFill="1" applyBorder="1" applyAlignment="1">
      <alignment wrapText="1"/>
    </xf>
    <xf numFmtId="3" fontId="16" fillId="0" borderId="63" xfId="3" applyNumberFormat="1" applyFont="1" applyFill="1" applyBorder="1"/>
    <xf numFmtId="3" fontId="16" fillId="0" borderId="0" xfId="4" applyNumberFormat="1" applyFont="1" applyFill="1" applyBorder="1"/>
    <xf numFmtId="2" fontId="16" fillId="0" borderId="66" xfId="3" applyNumberFormat="1" applyFont="1" applyFill="1" applyBorder="1"/>
    <xf numFmtId="166" fontId="16" fillId="0" borderId="11" xfId="3" applyNumberFormat="1" applyFont="1" applyFill="1" applyBorder="1"/>
    <xf numFmtId="3" fontId="19" fillId="0" borderId="36" xfId="3" applyNumberFormat="1" applyFont="1" applyFill="1" applyBorder="1"/>
    <xf numFmtId="0" fontId="12" fillId="0" borderId="21" xfId="3" applyFont="1" applyFill="1" applyBorder="1" applyAlignment="1">
      <alignment wrapText="1"/>
    </xf>
    <xf numFmtId="0" fontId="12" fillId="0" borderId="38" xfId="3" applyFont="1" applyFill="1" applyBorder="1" applyAlignment="1">
      <alignment wrapText="1"/>
    </xf>
    <xf numFmtId="0" fontId="14" fillId="0" borderId="18" xfId="3" applyFont="1" applyFill="1" applyBorder="1"/>
    <xf numFmtId="3" fontId="16" fillId="0" borderId="4" xfId="3" applyNumberFormat="1" applyFont="1" applyFill="1" applyBorder="1"/>
    <xf numFmtId="3" fontId="16" fillId="0" borderId="20" xfId="3" applyNumberFormat="1" applyFont="1" applyFill="1" applyBorder="1"/>
    <xf numFmtId="2" fontId="16" fillId="0" borderId="21" xfId="3" applyNumberFormat="1" applyFont="1" applyFill="1" applyBorder="1"/>
    <xf numFmtId="166" fontId="16" fillId="0" borderId="4" xfId="3" applyNumberFormat="1" applyFont="1" applyFill="1" applyBorder="1"/>
    <xf numFmtId="0" fontId="22" fillId="0" borderId="0" xfId="5" applyFont="1" applyFill="1" applyProtection="1">
      <protection locked="0"/>
    </xf>
    <xf numFmtId="0" fontId="9" fillId="0" borderId="0" xfId="5" applyFill="1"/>
    <xf numFmtId="0" fontId="9" fillId="0" borderId="0" xfId="5" applyFill="1" applyProtection="1">
      <protection locked="0"/>
    </xf>
    <xf numFmtId="0" fontId="9" fillId="0" borderId="0" xfId="5" applyProtection="1">
      <protection locked="0"/>
    </xf>
    <xf numFmtId="0" fontId="23" fillId="0" borderId="0" xfId="5" applyFont="1" applyAlignment="1" applyProtection="1">
      <alignment horizontal="right"/>
      <protection locked="0"/>
    </xf>
    <xf numFmtId="0" fontId="24" fillId="0" borderId="0" xfId="5" applyFont="1" applyFill="1" applyProtection="1">
      <protection locked="0"/>
    </xf>
    <xf numFmtId="0" fontId="24" fillId="0" borderId="0" xfId="5" applyFont="1" applyFill="1"/>
    <xf numFmtId="0" fontId="9" fillId="0" borderId="0" xfId="5"/>
    <xf numFmtId="0" fontId="9" fillId="0" borderId="19" xfId="6" applyBorder="1" applyAlignment="1">
      <alignment horizontal="center"/>
    </xf>
    <xf numFmtId="0" fontId="9" fillId="0" borderId="19" xfId="6" applyBorder="1"/>
    <xf numFmtId="0" fontId="9" fillId="0" borderId="70" xfId="6" applyBorder="1" applyAlignment="1">
      <alignment horizontal="right"/>
    </xf>
    <xf numFmtId="0" fontId="9" fillId="0" borderId="70" xfId="6" applyBorder="1"/>
    <xf numFmtId="0" fontId="9" fillId="0" borderId="43" xfId="6" applyBorder="1" applyAlignment="1">
      <alignment horizontal="center" textRotation="90"/>
    </xf>
    <xf numFmtId="0" fontId="9" fillId="0" borderId="28" xfId="6" applyBorder="1" applyAlignment="1">
      <alignment horizontal="center" textRotation="90"/>
    </xf>
    <xf numFmtId="0" fontId="9" fillId="4" borderId="77" xfId="5" applyFont="1" applyFill="1" applyBorder="1" applyAlignment="1">
      <alignment horizontal="center"/>
    </xf>
    <xf numFmtId="0" fontId="9" fillId="0" borderId="78" xfId="6" applyBorder="1" applyAlignment="1">
      <alignment horizontal="center"/>
    </xf>
    <xf numFmtId="0" fontId="9" fillId="0" borderId="58" xfId="6" applyBorder="1" applyAlignment="1">
      <alignment horizontal="center"/>
    </xf>
    <xf numFmtId="0" fontId="13" fillId="4" borderId="79" xfId="6" applyNumberFormat="1" applyFont="1" applyFill="1" applyBorder="1" applyAlignment="1">
      <alignment horizontal="center"/>
    </xf>
    <xf numFmtId="0" fontId="13" fillId="8" borderId="79" xfId="6" applyFont="1" applyFill="1" applyBorder="1" applyAlignment="1">
      <alignment horizontal="center"/>
    </xf>
    <xf numFmtId="0" fontId="1" fillId="9" borderId="80" xfId="6" applyFont="1" applyFill="1" applyBorder="1" applyAlignment="1">
      <alignment horizontal="center"/>
    </xf>
    <xf numFmtId="0" fontId="9" fillId="0" borderId="81" xfId="5" applyFont="1" applyBorder="1" applyAlignment="1">
      <alignment horizontal="center" vertical="center"/>
    </xf>
    <xf numFmtId="0" fontId="9" fillId="0" borderId="60" xfId="5" applyFont="1" applyBorder="1" applyAlignment="1">
      <alignment horizontal="center" vertical="center"/>
    </xf>
    <xf numFmtId="3" fontId="9" fillId="0" borderId="3" xfId="3" applyNumberFormat="1" applyFill="1" applyBorder="1"/>
    <xf numFmtId="3" fontId="0" fillId="0" borderId="0" xfId="0" applyNumberFormat="1"/>
    <xf numFmtId="0" fontId="16" fillId="0" borderId="51" xfId="5" applyFont="1" applyBorder="1" applyAlignment="1">
      <alignment horizontal="center" vertical="center" textRotation="90"/>
    </xf>
    <xf numFmtId="0" fontId="9" fillId="0" borderId="60" xfId="5" applyFont="1" applyFill="1" applyBorder="1" applyAlignment="1">
      <alignment horizontal="center" vertical="center"/>
    </xf>
    <xf numFmtId="0" fontId="1" fillId="0" borderId="60" xfId="5" applyFont="1" applyFill="1" applyBorder="1" applyAlignment="1">
      <alignment horizontal="center" vertical="center"/>
    </xf>
    <xf numFmtId="3" fontId="9" fillId="0" borderId="3" xfId="3" applyNumberFormat="1" applyBorder="1"/>
    <xf numFmtId="3" fontId="9" fillId="0" borderId="16" xfId="3" applyNumberFormat="1" applyBorder="1"/>
    <xf numFmtId="1" fontId="0" fillId="0" borderId="0" xfId="0" applyNumberFormat="1"/>
    <xf numFmtId="0" fontId="16" fillId="0" borderId="98" xfId="5" applyFont="1" applyBorder="1" applyAlignment="1">
      <alignment horizontal="center" vertical="center" textRotation="90"/>
    </xf>
    <xf numFmtId="0" fontId="1" fillId="10" borderId="82" xfId="2" applyFill="1" applyBorder="1"/>
    <xf numFmtId="0" fontId="1" fillId="10" borderId="99" xfId="2" applyFill="1" applyBorder="1" applyAlignment="1">
      <alignment horizontal="center"/>
    </xf>
    <xf numFmtId="4" fontId="0" fillId="0" borderId="0" xfId="0" applyNumberFormat="1"/>
    <xf numFmtId="0" fontId="27" fillId="0" borderId="0" xfId="3" applyFont="1" applyAlignment="1">
      <alignment horizontal="right"/>
    </xf>
    <xf numFmtId="0" fontId="16" fillId="0" borderId="0" xfId="0" applyFont="1"/>
    <xf numFmtId="0" fontId="25" fillId="12" borderId="19" xfId="7" applyFill="1" applyBorder="1" applyAlignment="1">
      <alignment horizontal="center"/>
    </xf>
    <xf numFmtId="0" fontId="25" fillId="12" borderId="19" xfId="7" applyFill="1" applyBorder="1" applyAlignment="1"/>
    <xf numFmtId="0" fontId="25" fillId="12" borderId="70" xfId="7" applyFont="1" applyFill="1" applyBorder="1" applyAlignment="1">
      <alignment horizontal="right"/>
    </xf>
    <xf numFmtId="0" fontId="25" fillId="12" borderId="70" xfId="7" applyFill="1" applyBorder="1" applyAlignment="1"/>
    <xf numFmtId="0" fontId="25" fillId="12" borderId="43" xfId="7" applyFont="1" applyFill="1" applyBorder="1" applyAlignment="1">
      <alignment horizontal="center"/>
    </xf>
    <xf numFmtId="0" fontId="25" fillId="12" borderId="28" xfId="7" applyFont="1" applyFill="1" applyBorder="1" applyAlignment="1">
      <alignment horizontal="center"/>
    </xf>
    <xf numFmtId="0" fontId="13" fillId="11" borderId="103" xfId="7" applyFont="1" applyFill="1" applyBorder="1" applyAlignment="1">
      <alignment horizontal="center"/>
    </xf>
    <xf numFmtId="0" fontId="25" fillId="12" borderId="104" xfId="7" applyFont="1" applyFill="1" applyBorder="1" applyAlignment="1">
      <alignment horizontal="center"/>
    </xf>
    <xf numFmtId="0" fontId="25" fillId="12" borderId="105" xfId="7" applyFont="1" applyFill="1" applyBorder="1" applyAlignment="1">
      <alignment horizontal="center"/>
    </xf>
    <xf numFmtId="0" fontId="13" fillId="13" borderId="103" xfId="7" applyFont="1" applyFill="1" applyBorder="1" applyAlignment="1">
      <alignment horizontal="center"/>
    </xf>
    <xf numFmtId="4" fontId="25" fillId="0" borderId="105" xfId="7" applyNumberFormat="1" applyFont="1" applyFill="1" applyBorder="1" applyAlignment="1">
      <alignment horizontal="center"/>
    </xf>
    <xf numFmtId="4" fontId="25" fillId="0" borderId="106" xfId="7" applyNumberFormat="1" applyFont="1" applyFill="1" applyBorder="1" applyAlignment="1">
      <alignment horizontal="center"/>
    </xf>
    <xf numFmtId="0" fontId="25" fillId="0" borderId="16" xfId="7" applyBorder="1"/>
    <xf numFmtId="0" fontId="24" fillId="0" borderId="35" xfId="6" applyFont="1" applyFill="1" applyBorder="1" applyAlignment="1">
      <alignment wrapText="1"/>
    </xf>
    <xf numFmtId="3" fontId="24" fillId="4" borderId="91" xfId="6" applyNumberFormat="1" applyFont="1" applyFill="1" applyBorder="1"/>
    <xf numFmtId="3" fontId="24" fillId="6" borderId="37" xfId="6" applyNumberFormat="1" applyFont="1" applyFill="1" applyBorder="1"/>
    <xf numFmtId="3" fontId="24" fillId="6" borderId="16" xfId="6" applyNumberFormat="1" applyFont="1" applyFill="1" applyBorder="1"/>
    <xf numFmtId="3" fontId="24" fillId="6" borderId="35" xfId="6" applyNumberFormat="1" applyFont="1" applyFill="1" applyBorder="1"/>
    <xf numFmtId="3" fontId="24" fillId="8" borderId="91" xfId="6" applyNumberFormat="1" applyFont="1" applyFill="1" applyBorder="1"/>
    <xf numFmtId="4" fontId="24" fillId="0" borderId="70" xfId="6" applyNumberFormat="1" applyFont="1" applyFill="1" applyBorder="1" applyAlignment="1"/>
    <xf numFmtId="0" fontId="25" fillId="0" borderId="3" xfId="7" applyBorder="1"/>
    <xf numFmtId="0" fontId="24" fillId="0" borderId="18" xfId="6" applyFont="1" applyFill="1" applyBorder="1" applyAlignment="1">
      <alignment wrapText="1"/>
    </xf>
    <xf numFmtId="3" fontId="24" fillId="4" borderId="88" xfId="6" applyNumberFormat="1" applyFont="1" applyFill="1" applyBorder="1"/>
    <xf numFmtId="3" fontId="24" fillId="6" borderId="20" xfId="6" applyNumberFormat="1" applyFont="1" applyFill="1" applyBorder="1"/>
    <xf numFmtId="3" fontId="24" fillId="6" borderId="3" xfId="6" applyNumberFormat="1" applyFont="1" applyFill="1" applyBorder="1"/>
    <xf numFmtId="3" fontId="24" fillId="6" borderId="18" xfId="6" applyNumberFormat="1" applyFont="1" applyFill="1" applyBorder="1"/>
    <xf numFmtId="3" fontId="24" fillId="8" borderId="88" xfId="6" applyNumberFormat="1" applyFont="1" applyFill="1" applyBorder="1"/>
    <xf numFmtId="4" fontId="24" fillId="0" borderId="19" xfId="6" applyNumberFormat="1" applyFont="1" applyFill="1" applyBorder="1" applyAlignment="1"/>
    <xf numFmtId="3" fontId="24" fillId="0" borderId="3" xfId="6" applyNumberFormat="1" applyFont="1" applyFill="1" applyBorder="1"/>
    <xf numFmtId="3" fontId="24" fillId="0" borderId="18" xfId="6" applyNumberFormat="1" applyFont="1" applyFill="1" applyBorder="1"/>
    <xf numFmtId="0" fontId="25" fillId="0" borderId="7" xfId="7" applyBorder="1"/>
    <xf numFmtId="0" fontId="24" fillId="0" borderId="22" xfId="6" applyFont="1" applyFill="1" applyBorder="1" applyAlignment="1">
      <alignment wrapText="1"/>
    </xf>
    <xf numFmtId="3" fontId="24" fillId="4" borderId="67" xfId="6" applyNumberFormat="1" applyFont="1" applyFill="1" applyBorder="1"/>
    <xf numFmtId="3" fontId="24" fillId="6" borderId="23" xfId="6" applyNumberFormat="1" applyFont="1" applyFill="1" applyBorder="1"/>
    <xf numFmtId="3" fontId="24" fillId="0" borderId="7" xfId="6" applyNumberFormat="1" applyFont="1" applyFill="1" applyBorder="1"/>
    <xf numFmtId="3" fontId="24" fillId="0" borderId="22" xfId="6" applyNumberFormat="1" applyFont="1" applyFill="1" applyBorder="1"/>
    <xf numFmtId="3" fontId="24" fillId="8" borderId="67" xfId="6" applyNumberFormat="1" applyFont="1" applyFill="1" applyBorder="1"/>
    <xf numFmtId="4" fontId="24" fillId="0" borderId="107" xfId="6" applyNumberFormat="1" applyFont="1" applyFill="1" applyBorder="1" applyAlignment="1"/>
    <xf numFmtId="3" fontId="24" fillId="7" borderId="101" xfId="6" applyNumberFormat="1" applyFont="1" applyFill="1" applyBorder="1"/>
    <xf numFmtId="3" fontId="24" fillId="7" borderId="108" xfId="6" applyNumberFormat="1" applyFont="1" applyFill="1" applyBorder="1"/>
    <xf numFmtId="3" fontId="24" fillId="7" borderId="109" xfId="6" applyNumberFormat="1" applyFont="1" applyFill="1" applyBorder="1"/>
    <xf numFmtId="3" fontId="24" fillId="7" borderId="110" xfId="6" applyNumberFormat="1" applyFont="1" applyFill="1" applyBorder="1"/>
    <xf numFmtId="4" fontId="24" fillId="7" borderId="102" xfId="6" applyNumberFormat="1" applyFont="1" applyFill="1" applyBorder="1" applyAlignment="1"/>
    <xf numFmtId="3" fontId="24" fillId="0" borderId="16" xfId="6" applyNumberFormat="1" applyFont="1" applyFill="1" applyBorder="1"/>
    <xf numFmtId="3" fontId="24" fillId="0" borderId="35" xfId="6" applyNumberFormat="1" applyFont="1" applyFill="1" applyBorder="1"/>
    <xf numFmtId="3" fontId="28" fillId="4" borderId="101" xfId="6" applyNumberFormat="1" applyFont="1" applyFill="1" applyBorder="1"/>
    <xf numFmtId="3" fontId="28" fillId="0" borderId="108" xfId="6" applyNumberFormat="1" applyFont="1" applyFill="1" applyBorder="1"/>
    <xf numFmtId="3" fontId="28" fillId="0" borderId="109" xfId="6" applyNumberFormat="1" applyFont="1" applyFill="1" applyBorder="1"/>
    <xf numFmtId="3" fontId="28" fillId="0" borderId="110" xfId="6" applyNumberFormat="1" applyFont="1" applyFill="1" applyBorder="1"/>
    <xf numFmtId="3" fontId="28" fillId="8" borderId="101" xfId="6" applyNumberFormat="1" applyFont="1" applyFill="1" applyBorder="1"/>
    <xf numFmtId="4" fontId="28" fillId="0" borderId="102" xfId="6" applyNumberFormat="1" applyFont="1" applyFill="1" applyBorder="1" applyAlignment="1"/>
    <xf numFmtId="0" fontId="25" fillId="0" borderId="16" xfId="7" applyBorder="1" applyAlignment="1"/>
    <xf numFmtId="3" fontId="28" fillId="14" borderId="79" xfId="6" applyNumberFormat="1" applyFont="1" applyFill="1" applyBorder="1"/>
    <xf numFmtId="3" fontId="28" fillId="14" borderId="112" xfId="6" applyNumberFormat="1" applyFont="1" applyFill="1" applyBorder="1"/>
    <xf numFmtId="3" fontId="28" fillId="14" borderId="14" xfId="6" applyNumberFormat="1" applyFont="1" applyFill="1" applyBorder="1"/>
    <xf numFmtId="3" fontId="28" fillId="14" borderId="113" xfId="6" applyNumberFormat="1" applyFont="1" applyFill="1" applyBorder="1"/>
    <xf numFmtId="4" fontId="28" fillId="14" borderId="111" xfId="6" applyNumberFormat="1" applyFont="1" applyFill="1" applyBorder="1" applyAlignment="1"/>
    <xf numFmtId="4" fontId="28" fillId="0" borderId="17" xfId="6" applyNumberFormat="1" applyFont="1" applyFill="1" applyBorder="1" applyAlignment="1"/>
    <xf numFmtId="0" fontId="31" fillId="0" borderId="0" xfId="0" applyFont="1" applyAlignment="1">
      <alignment wrapText="1"/>
    </xf>
    <xf numFmtId="0" fontId="9" fillId="0" borderId="7" xfId="3" applyFont="1" applyBorder="1" applyAlignment="1">
      <alignment horizontal="right"/>
    </xf>
    <xf numFmtId="0" fontId="9" fillId="0" borderId="7" xfId="3" applyFont="1" applyBorder="1"/>
    <xf numFmtId="0" fontId="9" fillId="0" borderId="107" xfId="3" applyFont="1" applyBorder="1"/>
    <xf numFmtId="0" fontId="9" fillId="0" borderId="10" xfId="3" applyFont="1" applyBorder="1"/>
    <xf numFmtId="0" fontId="9" fillId="0" borderId="11" xfId="3" applyFont="1" applyBorder="1" applyAlignment="1">
      <alignment horizontal="center"/>
    </xf>
    <xf numFmtId="0" fontId="9" fillId="0" borderId="28" xfId="3" applyFont="1" applyBorder="1"/>
    <xf numFmtId="0" fontId="12" fillId="0" borderId="1" xfId="3" applyFont="1" applyBorder="1" applyAlignment="1">
      <alignment horizontal="center"/>
    </xf>
    <xf numFmtId="0" fontId="16" fillId="0" borderId="5" xfId="3" applyFont="1" applyFill="1" applyBorder="1"/>
    <xf numFmtId="0" fontId="9" fillId="0" borderId="5" xfId="3" applyFont="1" applyBorder="1" applyAlignment="1">
      <alignment horizontal="center"/>
    </xf>
    <xf numFmtId="0" fontId="16" fillId="0" borderId="5" xfId="3" applyFont="1" applyBorder="1"/>
    <xf numFmtId="3" fontId="12" fillId="0" borderId="10" xfId="0" applyNumberFormat="1" applyFont="1" applyBorder="1"/>
    <xf numFmtId="0" fontId="16" fillId="0" borderId="5" xfId="0" applyFont="1" applyBorder="1"/>
    <xf numFmtId="0" fontId="9" fillId="0" borderId="30" xfId="3" applyFont="1" applyFill="1" applyBorder="1"/>
    <xf numFmtId="3" fontId="9" fillId="0" borderId="33" xfId="4" applyNumberFormat="1" applyFont="1" applyFill="1" applyBorder="1"/>
    <xf numFmtId="2" fontId="9" fillId="0" borderId="30" xfId="3" applyNumberFormat="1" applyFont="1" applyBorder="1"/>
    <xf numFmtId="0" fontId="9" fillId="0" borderId="5" xfId="3" applyFont="1" applyFill="1" applyBorder="1"/>
    <xf numFmtId="1" fontId="9" fillId="0" borderId="11" xfId="3" applyNumberFormat="1" applyFont="1" applyBorder="1"/>
    <xf numFmtId="1" fontId="9" fillId="0" borderId="25" xfId="3" applyNumberFormat="1" applyFont="1" applyBorder="1"/>
    <xf numFmtId="1" fontId="9" fillId="0" borderId="10" xfId="4" applyNumberFormat="1" applyFont="1" applyFill="1" applyBorder="1"/>
    <xf numFmtId="1" fontId="9" fillId="0" borderId="25" xfId="4" applyNumberFormat="1" applyFont="1" applyBorder="1"/>
    <xf numFmtId="2" fontId="9" fillId="0" borderId="5" xfId="3" applyNumberFormat="1" applyFont="1" applyBorder="1"/>
    <xf numFmtId="1" fontId="9" fillId="0" borderId="11" xfId="3" applyNumberFormat="1" applyFont="1" applyBorder="1" applyAlignment="1">
      <alignment horizontal="right"/>
    </xf>
    <xf numFmtId="1" fontId="9" fillId="0" borderId="25" xfId="3" applyNumberFormat="1" applyFont="1" applyFill="1" applyBorder="1"/>
    <xf numFmtId="1" fontId="9" fillId="0" borderId="25" xfId="4" applyNumberFormat="1" applyFont="1" applyFill="1" applyBorder="1"/>
    <xf numFmtId="0" fontId="9" fillId="0" borderId="35" xfId="3" applyFont="1" applyFill="1" applyBorder="1" applyAlignment="1">
      <alignment wrapText="1"/>
    </xf>
    <xf numFmtId="0" fontId="19" fillId="0" borderId="35" xfId="3" applyFont="1" applyFill="1" applyBorder="1" applyAlignment="1">
      <alignment wrapText="1"/>
    </xf>
    <xf numFmtId="2" fontId="9" fillId="0" borderId="35" xfId="3" applyNumberFormat="1" applyFont="1" applyFill="1" applyBorder="1"/>
    <xf numFmtId="0" fontId="19" fillId="0" borderId="35" xfId="8" applyFont="1" applyBorder="1" applyAlignment="1">
      <alignment horizontal="left"/>
    </xf>
    <xf numFmtId="3" fontId="9" fillId="0" borderId="37" xfId="3" applyNumberFormat="1" applyFont="1" applyBorder="1"/>
    <xf numFmtId="166" fontId="9" fillId="0" borderId="35" xfId="3" applyNumberFormat="1" applyFont="1" applyFill="1" applyBorder="1"/>
    <xf numFmtId="0" fontId="9" fillId="0" borderId="30" xfId="3" applyFont="1" applyBorder="1"/>
    <xf numFmtId="3" fontId="9" fillId="0" borderId="31" xfId="3" applyNumberFormat="1" applyFont="1" applyBorder="1" applyAlignment="1">
      <alignment horizontal="right"/>
    </xf>
    <xf numFmtId="3" fontId="9" fillId="0" borderId="33" xfId="3" applyNumberFormat="1" applyFont="1" applyBorder="1"/>
    <xf numFmtId="3" fontId="9" fillId="0" borderId="32" xfId="3" applyNumberFormat="1" applyFont="1" applyFill="1" applyBorder="1"/>
    <xf numFmtId="2" fontId="9" fillId="0" borderId="30" xfId="3" applyNumberFormat="1" applyFont="1" applyFill="1" applyBorder="1"/>
    <xf numFmtId="3" fontId="9" fillId="0" borderId="11" xfId="3" applyNumberFormat="1" applyFont="1" applyFill="1" applyBorder="1"/>
    <xf numFmtId="3" fontId="9" fillId="0" borderId="25" xfId="3" applyNumberFormat="1" applyFont="1" applyFill="1" applyBorder="1"/>
    <xf numFmtId="3" fontId="9" fillId="0" borderId="10" xfId="4" applyNumberFormat="1" applyFont="1" applyFill="1" applyBorder="1"/>
    <xf numFmtId="3" fontId="9" fillId="0" borderId="25" xfId="4" applyNumberFormat="1" applyFont="1" applyFill="1" applyBorder="1"/>
    <xf numFmtId="2" fontId="9" fillId="0" borderId="5" xfId="3" applyNumberFormat="1" applyFont="1" applyFill="1" applyBorder="1"/>
    <xf numFmtId="0" fontId="9" fillId="0" borderId="35" xfId="3" applyFont="1" applyFill="1" applyBorder="1"/>
    <xf numFmtId="3" fontId="9" fillId="0" borderId="32" xfId="4" applyNumberFormat="1" applyFont="1" applyFill="1" applyBorder="1"/>
    <xf numFmtId="0" fontId="16" fillId="0" borderId="35" xfId="0" applyFont="1" applyFill="1" applyBorder="1"/>
    <xf numFmtId="0" fontId="16" fillId="15" borderId="30" xfId="3" applyFont="1" applyFill="1" applyBorder="1"/>
    <xf numFmtId="3" fontId="16" fillId="15" borderId="31" xfId="3" applyNumberFormat="1" applyFont="1" applyFill="1" applyBorder="1"/>
    <xf numFmtId="3" fontId="16" fillId="15" borderId="33" xfId="3" applyNumberFormat="1" applyFont="1" applyFill="1" applyBorder="1"/>
    <xf numFmtId="3" fontId="16" fillId="15" borderId="32" xfId="3" applyNumberFormat="1" applyFont="1" applyFill="1" applyBorder="1"/>
    <xf numFmtId="2" fontId="16" fillId="15" borderId="30" xfId="3" applyNumberFormat="1" applyFont="1" applyFill="1" applyBorder="1"/>
    <xf numFmtId="0" fontId="16" fillId="0" borderId="114" xfId="3" applyFont="1" applyBorder="1"/>
    <xf numFmtId="3" fontId="16" fillId="0" borderId="115" xfId="3" applyNumberFormat="1" applyFont="1" applyFill="1" applyBorder="1" applyAlignment="1">
      <alignment horizontal="right"/>
    </xf>
    <xf numFmtId="3" fontId="16" fillId="0" borderId="116" xfId="3" applyNumberFormat="1" applyFont="1" applyFill="1" applyBorder="1"/>
    <xf numFmtId="3" fontId="16" fillId="0" borderId="116" xfId="3" applyNumberFormat="1" applyFont="1" applyFill="1" applyBorder="1" applyAlignment="1">
      <alignment horizontal="right"/>
    </xf>
    <xf numFmtId="2" fontId="16" fillId="0" borderId="114" xfId="3" applyNumberFormat="1" applyFont="1" applyFill="1" applyBorder="1" applyAlignment="1">
      <alignment horizontal="right"/>
    </xf>
    <xf numFmtId="2" fontId="9" fillId="0" borderId="115" xfId="3" applyNumberFormat="1" applyFont="1" applyBorder="1"/>
    <xf numFmtId="3" fontId="16" fillId="0" borderId="11" xfId="3" applyNumberFormat="1" applyFont="1" applyBorder="1" applyAlignment="1">
      <alignment horizontal="right"/>
    </xf>
    <xf numFmtId="3" fontId="16" fillId="0" borderId="25" xfId="3" applyNumberFormat="1" applyFont="1" applyBorder="1" applyAlignment="1">
      <alignment horizontal="right"/>
    </xf>
    <xf numFmtId="2" fontId="16" fillId="0" borderId="5" xfId="3" applyNumberFormat="1" applyFont="1" applyBorder="1" applyAlignment="1">
      <alignment horizontal="right"/>
    </xf>
    <xf numFmtId="1" fontId="16" fillId="0" borderId="11" xfId="3" applyNumberFormat="1" applyFont="1" applyBorder="1" applyAlignment="1">
      <alignment horizontal="right"/>
    </xf>
    <xf numFmtId="1" fontId="16" fillId="0" borderId="25" xfId="3" applyNumberFormat="1" applyFont="1" applyBorder="1"/>
    <xf numFmtId="1" fontId="16" fillId="0" borderId="25" xfId="3" applyNumberFormat="1" applyFont="1" applyBorder="1" applyAlignment="1">
      <alignment horizontal="right"/>
    </xf>
    <xf numFmtId="0" fontId="16" fillId="0" borderId="1" xfId="3" applyFont="1" applyFill="1" applyBorder="1" applyAlignment="1">
      <alignment wrapText="1"/>
    </xf>
    <xf numFmtId="0" fontId="16" fillId="0" borderId="35" xfId="3" applyFont="1" applyFill="1" applyBorder="1" applyAlignment="1">
      <alignment wrapText="1"/>
    </xf>
    <xf numFmtId="3" fontId="16" fillId="0" borderId="47" xfId="3" applyNumberFormat="1" applyFont="1" applyBorder="1"/>
    <xf numFmtId="0" fontId="16" fillId="0" borderId="45" xfId="3" applyFont="1" applyFill="1" applyBorder="1" applyAlignment="1">
      <alignment wrapText="1"/>
    </xf>
    <xf numFmtId="166" fontId="16" fillId="0" borderId="54" xfId="3" applyNumberFormat="1" applyFont="1" applyFill="1" applyBorder="1" applyAlignment="1">
      <alignment wrapText="1"/>
    </xf>
    <xf numFmtId="166" fontId="12" fillId="0" borderId="37" xfId="3" applyNumberFormat="1" applyFont="1" applyFill="1" applyBorder="1"/>
    <xf numFmtId="0" fontId="9" fillId="0" borderId="18" xfId="3" applyFont="1" applyFill="1" applyBorder="1" applyAlignment="1">
      <alignment wrapText="1"/>
    </xf>
    <xf numFmtId="166" fontId="9" fillId="0" borderId="37" xfId="3" applyNumberFormat="1" applyFont="1" applyFill="1" applyBorder="1"/>
    <xf numFmtId="0" fontId="16" fillId="0" borderId="30" xfId="3" applyFont="1" applyBorder="1"/>
    <xf numFmtId="166" fontId="9" fillId="0" borderId="32" xfId="3" applyNumberFormat="1" applyFont="1" applyBorder="1"/>
    <xf numFmtId="0" fontId="16" fillId="0" borderId="53" xfId="3" applyFont="1" applyBorder="1"/>
    <xf numFmtId="4" fontId="16" fillId="0" borderId="48" xfId="3" applyNumberFormat="1" applyFont="1" applyBorder="1"/>
    <xf numFmtId="0" fontId="9" fillId="4" borderId="35" xfId="3" applyFont="1" applyFill="1" applyBorder="1"/>
    <xf numFmtId="4" fontId="17" fillId="4" borderId="37" xfId="3" applyNumberFormat="1" applyFont="1" applyFill="1" applyBorder="1"/>
    <xf numFmtId="0" fontId="16" fillId="0" borderId="13" xfId="3" applyFont="1" applyBorder="1" applyAlignment="1">
      <alignment wrapText="1"/>
    </xf>
    <xf numFmtId="3" fontId="16" fillId="0" borderId="17" xfId="3" applyNumberFormat="1" applyFont="1" applyBorder="1"/>
    <xf numFmtId="3" fontId="16" fillId="0" borderId="117" xfId="3" applyNumberFormat="1" applyFont="1" applyBorder="1"/>
    <xf numFmtId="3" fontId="16" fillId="0" borderId="117" xfId="3" applyNumberFormat="1" applyFont="1" applyFill="1" applyBorder="1"/>
    <xf numFmtId="4" fontId="16" fillId="0" borderId="118" xfId="3" applyNumberFormat="1" applyFont="1" applyBorder="1"/>
    <xf numFmtId="4" fontId="16" fillId="0" borderId="117" xfId="3" applyNumberFormat="1" applyFont="1" applyBorder="1"/>
    <xf numFmtId="0" fontId="16" fillId="0" borderId="0" xfId="3" applyFont="1" applyBorder="1" applyAlignment="1">
      <alignment wrapText="1"/>
    </xf>
    <xf numFmtId="0" fontId="19" fillId="0" borderId="0" xfId="3" applyFont="1"/>
    <xf numFmtId="3" fontId="9" fillId="0" borderId="0" xfId="3" applyNumberFormat="1" applyFont="1"/>
    <xf numFmtId="2" fontId="9" fillId="0" borderId="0" xfId="3" applyNumberFormat="1" applyFont="1"/>
    <xf numFmtId="0" fontId="9" fillId="0" borderId="96" xfId="3" applyFont="1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 wrapText="1"/>
    </xf>
    <xf numFmtId="0" fontId="0" fillId="0" borderId="28" xfId="0" applyFill="1" applyBorder="1" applyAlignment="1">
      <alignment horizontal="center" vertical="center" textRotation="90" wrapText="1"/>
    </xf>
    <xf numFmtId="0" fontId="0" fillId="0" borderId="43" xfId="0" applyFill="1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0" fontId="16" fillId="0" borderId="27" xfId="3" applyFont="1" applyBorder="1" applyAlignment="1">
      <alignment horizontal="center" vertical="center" textRotation="90" wrapText="1"/>
    </xf>
    <xf numFmtId="0" fontId="9" fillId="0" borderId="13" xfId="3" applyFont="1" applyBorder="1"/>
    <xf numFmtId="0" fontId="9" fillId="0" borderId="111" xfId="3" applyBorder="1"/>
    <xf numFmtId="3" fontId="9" fillId="0" borderId="15" xfId="3" applyNumberFormat="1" applyBorder="1"/>
    <xf numFmtId="3" fontId="9" fillId="0" borderId="15" xfId="3" applyNumberFormat="1" applyFill="1" applyBorder="1"/>
    <xf numFmtId="0" fontId="9" fillId="0" borderId="18" xfId="3" applyFont="1" applyBorder="1"/>
    <xf numFmtId="3" fontId="9" fillId="0" borderId="16" xfId="3" applyNumberFormat="1" applyFill="1" applyBorder="1"/>
    <xf numFmtId="3" fontId="9" fillId="17" borderId="16" xfId="0" applyNumberFormat="1" applyFont="1" applyFill="1" applyBorder="1" applyAlignment="1" applyProtection="1">
      <alignment horizontal="right"/>
      <protection locked="0"/>
    </xf>
    <xf numFmtId="3" fontId="16" fillId="8" borderId="4" xfId="3" applyNumberFormat="1" applyFont="1" applyFill="1" applyBorder="1"/>
    <xf numFmtId="0" fontId="9" fillId="0" borderId="18" xfId="3" applyBorder="1"/>
    <xf numFmtId="0" fontId="9" fillId="0" borderId="19" xfId="3" applyBorder="1"/>
    <xf numFmtId="3" fontId="16" fillId="0" borderId="4" xfId="3" applyNumberFormat="1" applyFont="1" applyBorder="1"/>
    <xf numFmtId="0" fontId="9" fillId="0" borderId="0" xfId="3" applyBorder="1" applyAlignment="1">
      <alignment horizontal="left"/>
    </xf>
    <xf numFmtId="3" fontId="9" fillId="18" borderId="16" xfId="0" applyNumberFormat="1" applyFont="1" applyFill="1" applyBorder="1" applyAlignment="1" applyProtection="1">
      <alignment horizontal="right"/>
      <protection locked="0"/>
    </xf>
    <xf numFmtId="3" fontId="15" fillId="0" borderId="16" xfId="4" applyNumberFormat="1" applyFill="1" applyBorder="1"/>
    <xf numFmtId="0" fontId="9" fillId="0" borderId="18" xfId="3" applyBorder="1" applyAlignment="1">
      <alignment horizontal="left"/>
    </xf>
    <xf numFmtId="3" fontId="15" fillId="0" borderId="16" xfId="4" applyNumberFormat="1" applyBorder="1"/>
    <xf numFmtId="0" fontId="9" fillId="0" borderId="70" xfId="3" applyFont="1" applyBorder="1"/>
    <xf numFmtId="3" fontId="9" fillId="0" borderId="16" xfId="0" applyNumberFormat="1" applyFont="1" applyFill="1" applyBorder="1" applyAlignment="1" applyProtection="1">
      <alignment horizontal="right"/>
      <protection locked="0"/>
    </xf>
    <xf numFmtId="0" fontId="9" fillId="0" borderId="52" xfId="3" applyBorder="1"/>
    <xf numFmtId="0" fontId="9" fillId="0" borderId="120" xfId="3" applyBorder="1"/>
    <xf numFmtId="4" fontId="9" fillId="0" borderId="33" xfId="3" applyNumberFormat="1" applyBorder="1"/>
    <xf numFmtId="4" fontId="9" fillId="0" borderId="33" xfId="3" applyNumberFormat="1" applyFill="1" applyBorder="1"/>
    <xf numFmtId="4" fontId="16" fillId="0" borderId="31" xfId="3" applyNumberFormat="1" applyFont="1" applyBorder="1"/>
    <xf numFmtId="0" fontId="9" fillId="0" borderId="82" xfId="3" applyFont="1" applyBorder="1"/>
    <xf numFmtId="0" fontId="9" fillId="0" borderId="121" xfId="3" applyBorder="1"/>
    <xf numFmtId="0" fontId="9" fillId="0" borderId="122" xfId="3" applyBorder="1"/>
    <xf numFmtId="3" fontId="9" fillId="0" borderId="10" xfId="3" applyNumberFormat="1" applyBorder="1"/>
    <xf numFmtId="3" fontId="9" fillId="0" borderId="10" xfId="3" applyNumberFormat="1" applyFill="1" applyBorder="1"/>
    <xf numFmtId="3" fontId="16" fillId="0" borderId="36" xfId="3" applyNumberFormat="1" applyFont="1" applyBorder="1"/>
    <xf numFmtId="0" fontId="9" fillId="0" borderId="45" xfId="3" applyFont="1" applyBorder="1" applyAlignment="1"/>
    <xf numFmtId="0" fontId="9" fillId="0" borderId="123" xfId="3" applyFont="1" applyBorder="1" applyAlignment="1">
      <alignment horizontal="center"/>
    </xf>
    <xf numFmtId="3" fontId="9" fillId="0" borderId="28" xfId="3" applyNumberFormat="1" applyBorder="1"/>
    <xf numFmtId="3" fontId="9" fillId="0" borderId="28" xfId="3" applyNumberFormat="1" applyFill="1" applyBorder="1"/>
    <xf numFmtId="3" fontId="16" fillId="0" borderId="46" xfId="3" applyNumberFormat="1" applyFont="1" applyBorder="1"/>
    <xf numFmtId="0" fontId="9" fillId="0" borderId="35" xfId="3" applyFont="1" applyBorder="1"/>
    <xf numFmtId="0" fontId="9" fillId="0" borderId="70" xfId="3" applyBorder="1"/>
    <xf numFmtId="0" fontId="9" fillId="0" borderId="45" xfId="3" applyFont="1" applyBorder="1"/>
    <xf numFmtId="0" fontId="9" fillId="0" borderId="100" xfId="3" applyBorder="1"/>
    <xf numFmtId="3" fontId="9" fillId="0" borderId="12" xfId="3" applyNumberFormat="1" applyFill="1" applyBorder="1"/>
    <xf numFmtId="4" fontId="9" fillId="0" borderId="12" xfId="3" applyNumberFormat="1" applyFill="1" applyBorder="1"/>
    <xf numFmtId="4" fontId="16" fillId="0" borderId="46" xfId="3" applyNumberFormat="1" applyFont="1" applyBorder="1"/>
    <xf numFmtId="0" fontId="9" fillId="0" borderId="35" xfId="3" applyFont="1" applyBorder="1" applyAlignment="1"/>
    <xf numFmtId="0" fontId="9" fillId="0" borderId="70" xfId="3" applyFont="1" applyBorder="1" applyAlignment="1">
      <alignment horizontal="center"/>
    </xf>
    <xf numFmtId="0" fontId="34" fillId="0" borderId="0" xfId="0" applyFont="1"/>
    <xf numFmtId="0" fontId="0" fillId="4" borderId="124" xfId="0" applyFill="1" applyBorder="1" applyAlignment="1">
      <alignment horizontal="center" textRotation="90" wrapText="1"/>
    </xf>
    <xf numFmtId="0" fontId="0" fillId="0" borderId="28" xfId="0" applyBorder="1" applyAlignment="1">
      <alignment horizontal="center" textRotation="90" wrapText="1"/>
    </xf>
    <xf numFmtId="0" fontId="0" fillId="0" borderId="43" xfId="0" applyBorder="1" applyAlignment="1">
      <alignment horizontal="center" textRotation="90" wrapText="1"/>
    </xf>
    <xf numFmtId="0" fontId="0" fillId="0" borderId="100" xfId="0" applyFill="1" applyBorder="1" applyAlignment="1">
      <alignment horizontal="center" textRotation="90" wrapText="1"/>
    </xf>
    <xf numFmtId="0" fontId="0" fillId="5" borderId="124" xfId="0" applyFill="1" applyBorder="1" applyAlignment="1">
      <alignment horizontal="center" textRotation="90" wrapText="1"/>
    </xf>
    <xf numFmtId="0" fontId="0" fillId="4" borderId="27" xfId="0" applyFill="1" applyBorder="1" applyAlignment="1">
      <alignment horizontal="center" textRotation="90" wrapText="1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4" fontId="7" fillId="4" borderId="117" xfId="0" applyNumberFormat="1" applyFont="1" applyFill="1" applyBorder="1"/>
    <xf numFmtId="4" fontId="7" fillId="4" borderId="111" xfId="0" applyNumberFormat="1" applyFont="1" applyFill="1" applyBorder="1"/>
    <xf numFmtId="0" fontId="35" fillId="0" borderId="0" xfId="3" applyFont="1"/>
    <xf numFmtId="0" fontId="4" fillId="0" borderId="0" xfId="9" applyFont="1"/>
    <xf numFmtId="0" fontId="37" fillId="0" borderId="0" xfId="9" applyFont="1"/>
    <xf numFmtId="0" fontId="36" fillId="0" borderId="0" xfId="9"/>
    <xf numFmtId="0" fontId="36" fillId="0" borderId="0" xfId="9" applyFont="1"/>
    <xf numFmtId="0" fontId="9" fillId="0" borderId="9" xfId="3" applyFont="1" applyBorder="1" applyAlignment="1">
      <alignment horizontal="center"/>
    </xf>
    <xf numFmtId="0" fontId="9" fillId="0" borderId="107" xfId="3" applyFont="1" applyBorder="1" applyAlignment="1">
      <alignment horizontal="center"/>
    </xf>
    <xf numFmtId="0" fontId="9" fillId="0" borderId="18" xfId="3" applyFont="1" applyBorder="1" applyAlignment="1">
      <alignment horizontal="center"/>
    </xf>
    <xf numFmtId="0" fontId="9" fillId="0" borderId="19" xfId="3" applyFont="1" applyBorder="1" applyAlignment="1">
      <alignment horizontal="center"/>
    </xf>
    <xf numFmtId="0" fontId="9" fillId="0" borderId="20" xfId="3" applyFont="1" applyBorder="1" applyAlignment="1">
      <alignment horizontal="center"/>
    </xf>
    <xf numFmtId="0" fontId="9" fillId="0" borderId="7" xfId="3" applyFont="1" applyBorder="1" applyAlignment="1">
      <alignment horizontal="center"/>
    </xf>
    <xf numFmtId="0" fontId="9" fillId="0" borderId="10" xfId="3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38" fillId="0" borderId="0" xfId="3" applyFont="1" applyBorder="1" applyAlignment="1">
      <alignment horizontal="center"/>
    </xf>
    <xf numFmtId="0" fontId="38" fillId="0" borderId="10" xfId="3" applyFont="1" applyBorder="1" applyAlignment="1">
      <alignment horizontal="center"/>
    </xf>
    <xf numFmtId="0" fontId="9" fillId="0" borderId="109" xfId="3" applyFont="1" applyBorder="1" applyAlignment="1">
      <alignment horizontal="center"/>
    </xf>
    <xf numFmtId="0" fontId="9" fillId="0" borderId="102" xfId="3" applyFont="1" applyBorder="1" applyAlignment="1">
      <alignment horizontal="center"/>
    </xf>
    <xf numFmtId="0" fontId="9" fillId="0" borderId="49" xfId="3" applyFont="1" applyBorder="1" applyAlignment="1">
      <alignment horizontal="center"/>
    </xf>
    <xf numFmtId="0" fontId="39" fillId="0" borderId="125" xfId="3" applyFont="1" applyBorder="1" applyAlignment="1">
      <alignment horizontal="center"/>
    </xf>
    <xf numFmtId="0" fontId="39" fillId="0" borderId="0" xfId="3" applyFont="1" applyBorder="1" applyAlignment="1">
      <alignment horizontal="center"/>
    </xf>
    <xf numFmtId="0" fontId="39" fillId="0" borderId="10" xfId="3" applyFont="1" applyBorder="1" applyAlignment="1">
      <alignment horizontal="center"/>
    </xf>
    <xf numFmtId="0" fontId="39" fillId="0" borderId="65" xfId="3" applyFont="1" applyBorder="1" applyAlignment="1">
      <alignment horizontal="center"/>
    </xf>
    <xf numFmtId="1" fontId="39" fillId="0" borderId="126" xfId="3" applyNumberFormat="1" applyFont="1" applyBorder="1" applyAlignment="1">
      <alignment horizontal="center"/>
    </xf>
    <xf numFmtId="1" fontId="39" fillId="0" borderId="70" xfId="3" applyNumberFormat="1" applyFont="1" applyBorder="1" applyAlignment="1">
      <alignment horizontal="center"/>
    </xf>
    <xf numFmtId="1" fontId="39" fillId="0" borderId="16" xfId="3" applyNumberFormat="1" applyFont="1" applyBorder="1" applyAlignment="1">
      <alignment horizontal="center"/>
    </xf>
    <xf numFmtId="0" fontId="39" fillId="0" borderId="70" xfId="3" applyFont="1" applyBorder="1" applyAlignment="1">
      <alignment horizontal="center"/>
    </xf>
    <xf numFmtId="3" fontId="9" fillId="0" borderId="2" xfId="3" applyNumberFormat="1" applyFont="1" applyFill="1" applyBorder="1"/>
    <xf numFmtId="3" fontId="9" fillId="0" borderId="19" xfId="3" applyNumberFormat="1" applyFont="1" applyFill="1" applyBorder="1"/>
    <xf numFmtId="1" fontId="39" fillId="0" borderId="37" xfId="3" applyNumberFormat="1" applyFont="1" applyBorder="1"/>
    <xf numFmtId="3" fontId="39" fillId="0" borderId="16" xfId="3" applyNumberFormat="1" applyFont="1" applyFill="1" applyBorder="1"/>
    <xf numFmtId="3" fontId="39" fillId="0" borderId="70" xfId="3" applyNumberFormat="1" applyFont="1" applyFill="1" applyBorder="1"/>
    <xf numFmtId="3" fontId="39" fillId="0" borderId="16" xfId="4" applyNumberFormat="1" applyFont="1" applyFill="1" applyBorder="1"/>
    <xf numFmtId="3" fontId="9" fillId="0" borderId="70" xfId="3" applyNumberFormat="1" applyFont="1" applyFill="1" applyBorder="1"/>
    <xf numFmtId="1" fontId="39" fillId="0" borderId="25" xfId="3" applyNumberFormat="1" applyFont="1" applyBorder="1"/>
    <xf numFmtId="1" fontId="39" fillId="0" borderId="0" xfId="3" applyNumberFormat="1" applyFont="1" applyBorder="1"/>
    <xf numFmtId="3" fontId="9" fillId="0" borderId="126" xfId="3" applyNumberFormat="1" applyFont="1" applyFill="1" applyBorder="1"/>
    <xf numFmtId="3" fontId="4" fillId="0" borderId="0" xfId="9" applyNumberFormat="1" applyFont="1"/>
    <xf numFmtId="1" fontId="19" fillId="0" borderId="25" xfId="3" applyNumberFormat="1" applyFont="1" applyBorder="1"/>
    <xf numFmtId="3" fontId="39" fillId="0" borderId="3" xfId="3" applyNumberFormat="1" applyFont="1" applyFill="1" applyBorder="1"/>
    <xf numFmtId="3" fontId="39" fillId="0" borderId="19" xfId="3" applyNumberFormat="1" applyFont="1" applyFill="1" applyBorder="1"/>
    <xf numFmtId="3" fontId="9" fillId="0" borderId="6" xfId="3" applyNumberFormat="1" applyFont="1" applyFill="1" applyBorder="1"/>
    <xf numFmtId="3" fontId="9" fillId="0" borderId="107" xfId="3" applyNumberFormat="1" applyFont="1" applyFill="1" applyBorder="1"/>
    <xf numFmtId="3" fontId="39" fillId="0" borderId="7" xfId="3" applyNumberFormat="1" applyFont="1" applyFill="1" applyBorder="1"/>
    <xf numFmtId="3" fontId="9" fillId="0" borderId="7" xfId="3" applyNumberFormat="1" applyFont="1" applyFill="1" applyBorder="1"/>
    <xf numFmtId="3" fontId="37" fillId="0" borderId="0" xfId="9" applyNumberFormat="1" applyFont="1"/>
    <xf numFmtId="3" fontId="16" fillId="0" borderId="127" xfId="3" applyNumberFormat="1" applyFont="1" applyFill="1" applyBorder="1"/>
    <xf numFmtId="3" fontId="16" fillId="0" borderId="123" xfId="3" applyNumberFormat="1" applyFont="1" applyFill="1" applyBorder="1"/>
    <xf numFmtId="3" fontId="16" fillId="0" borderId="14" xfId="3" applyNumberFormat="1" applyFont="1" applyFill="1" applyBorder="1"/>
    <xf numFmtId="3" fontId="16" fillId="0" borderId="111" xfId="3" applyNumberFormat="1" applyFont="1" applyFill="1" applyBorder="1"/>
    <xf numFmtId="3" fontId="16" fillId="0" borderId="15" xfId="3" applyNumberFormat="1" applyFont="1" applyFill="1" applyBorder="1"/>
    <xf numFmtId="3" fontId="16" fillId="0" borderId="15" xfId="4" applyNumberFormat="1" applyFont="1" applyFill="1" applyBorder="1"/>
    <xf numFmtId="3" fontId="16" fillId="0" borderId="12" xfId="4" applyNumberFormat="1" applyFont="1" applyFill="1" applyBorder="1"/>
    <xf numFmtId="3" fontId="39" fillId="0" borderId="9" xfId="3" applyNumberFormat="1" applyFont="1" applyFill="1" applyBorder="1"/>
    <xf numFmtId="3" fontId="39" fillId="0" borderId="10" xfId="3" applyNumberFormat="1" applyFont="1" applyFill="1" applyBorder="1"/>
    <xf numFmtId="3" fontId="39" fillId="0" borderId="0" xfId="3" applyNumberFormat="1" applyFont="1" applyFill="1" applyBorder="1"/>
    <xf numFmtId="1" fontId="39" fillId="0" borderId="20" xfId="3" applyNumberFormat="1" applyFont="1" applyBorder="1"/>
    <xf numFmtId="3" fontId="9" fillId="0" borderId="15" xfId="3" applyNumberFormat="1" applyFont="1" applyFill="1" applyBorder="1"/>
    <xf numFmtId="3" fontId="36" fillId="0" borderId="0" xfId="9" applyNumberFormat="1"/>
    <xf numFmtId="3" fontId="36" fillId="0" borderId="0" xfId="9" applyNumberFormat="1" applyFont="1"/>
    <xf numFmtId="0" fontId="41" fillId="0" borderId="0" xfId="0" applyFont="1"/>
    <xf numFmtId="0" fontId="42" fillId="0" borderId="0" xfId="0" applyFont="1"/>
    <xf numFmtId="0" fontId="0" fillId="0" borderId="124" xfId="0" applyBorder="1" applyAlignment="1">
      <alignment horizontal="center" textRotation="90" wrapText="1"/>
    </xf>
    <xf numFmtId="0" fontId="0" fillId="0" borderId="9" xfId="0" applyBorder="1" applyAlignment="1">
      <alignment horizontal="center"/>
    </xf>
    <xf numFmtId="0" fontId="43" fillId="0" borderId="0" xfId="0" applyFont="1"/>
    <xf numFmtId="0" fontId="9" fillId="0" borderId="22" xfId="3" applyFont="1" applyBorder="1" applyAlignment="1">
      <alignment horizontal="right"/>
    </xf>
    <xf numFmtId="0" fontId="9" fillId="0" borderId="6" xfId="3" applyFont="1" applyBorder="1" applyAlignment="1">
      <alignment horizontal="center"/>
    </xf>
    <xf numFmtId="0" fontId="9" fillId="0" borderId="54" xfId="3" applyFont="1" applyBorder="1" applyAlignment="1">
      <alignment horizontal="center"/>
    </xf>
    <xf numFmtId="0" fontId="13" fillId="0" borderId="55" xfId="3" applyFont="1" applyBorder="1"/>
    <xf numFmtId="1" fontId="39" fillId="0" borderId="11" xfId="3" applyNumberFormat="1" applyFont="1" applyBorder="1"/>
    <xf numFmtId="0" fontId="13" fillId="0" borderId="5" xfId="3" applyFont="1" applyBorder="1"/>
    <xf numFmtId="1" fontId="39" fillId="0" borderId="36" xfId="3" applyNumberFormat="1" applyFont="1" applyBorder="1"/>
    <xf numFmtId="0" fontId="36" fillId="0" borderId="18" xfId="3" applyFont="1" applyFill="1" applyBorder="1"/>
    <xf numFmtId="3" fontId="39" fillId="0" borderId="4" xfId="3" applyNumberFormat="1" applyFont="1" applyFill="1" applyBorder="1"/>
    <xf numFmtId="3" fontId="39" fillId="0" borderId="36" xfId="3" applyNumberFormat="1" applyFont="1" applyFill="1" applyBorder="1"/>
    <xf numFmtId="0" fontId="40" fillId="0" borderId="18" xfId="10" applyFont="1" applyFill="1" applyBorder="1" applyAlignment="1">
      <alignment horizontal="left" vertical="center"/>
    </xf>
    <xf numFmtId="0" fontId="36" fillId="0" borderId="18" xfId="10" applyFont="1" applyFill="1" applyBorder="1" applyAlignment="1">
      <alignment horizontal="left" vertical="center"/>
    </xf>
    <xf numFmtId="3" fontId="9" fillId="0" borderId="8" xfId="3" applyNumberFormat="1" applyFont="1" applyFill="1" applyBorder="1"/>
    <xf numFmtId="0" fontId="9" fillId="0" borderId="18" xfId="3" applyFont="1" applyFill="1" applyBorder="1"/>
    <xf numFmtId="0" fontId="6" fillId="0" borderId="18" xfId="3" applyFont="1" applyFill="1" applyBorder="1"/>
    <xf numFmtId="0" fontId="16" fillId="0" borderId="45" xfId="3" applyFont="1" applyFill="1" applyBorder="1"/>
    <xf numFmtId="0" fontId="16" fillId="0" borderId="13" xfId="3" applyFont="1" applyFill="1" applyBorder="1"/>
    <xf numFmtId="3" fontId="16" fillId="0" borderId="17" xfId="3" applyNumberFormat="1" applyFont="1" applyFill="1" applyBorder="1"/>
    <xf numFmtId="0" fontId="39" fillId="0" borderId="5" xfId="3" applyFont="1" applyFill="1" applyBorder="1"/>
    <xf numFmtId="3" fontId="39" fillId="0" borderId="11" xfId="3" applyNumberFormat="1" applyFont="1" applyFill="1" applyBorder="1"/>
    <xf numFmtId="0" fontId="13" fillId="0" borderId="53" xfId="3" applyFont="1" applyFill="1" applyBorder="1"/>
    <xf numFmtId="0" fontId="38" fillId="0" borderId="18" xfId="11" applyFont="1" applyFill="1" applyBorder="1"/>
    <xf numFmtId="0" fontId="38" fillId="0" borderId="18" xfId="3" applyFont="1" applyFill="1" applyBorder="1"/>
    <xf numFmtId="0" fontId="9" fillId="0" borderId="18" xfId="11" applyFont="1" applyFill="1" applyBorder="1"/>
    <xf numFmtId="0" fontId="13" fillId="0" borderId="30" xfId="3" applyFont="1" applyFill="1" applyBorder="1"/>
    <xf numFmtId="0" fontId="13" fillId="0" borderId="53" xfId="3" applyFont="1" applyBorder="1"/>
    <xf numFmtId="0" fontId="29" fillId="8" borderId="13" xfId="3" applyFont="1" applyFill="1" applyBorder="1"/>
    <xf numFmtId="3" fontId="7" fillId="4" borderId="2" xfId="0" applyNumberFormat="1" applyFont="1" applyFill="1" applyBorder="1"/>
    <xf numFmtId="3" fontId="7" fillId="5" borderId="3" xfId="0" applyNumberFormat="1" applyFont="1" applyFill="1" applyBorder="1"/>
    <xf numFmtId="3" fontId="7" fillId="5" borderId="2" xfId="0" applyNumberFormat="1" applyFont="1" applyFill="1" applyBorder="1"/>
    <xf numFmtId="3" fontId="7" fillId="4" borderId="4" xfId="0" applyNumberFormat="1" applyFont="1" applyFill="1" applyBorder="1"/>
    <xf numFmtId="3" fontId="0" fillId="4" borderId="2" xfId="0" applyNumberFormat="1" applyFill="1" applyBorder="1"/>
    <xf numFmtId="3" fontId="0" fillId="4" borderId="2" xfId="0" applyNumberFormat="1" applyFont="1" applyFill="1" applyBorder="1"/>
    <xf numFmtId="3" fontId="0" fillId="0" borderId="3" xfId="0" applyNumberFormat="1" applyBorder="1"/>
    <xf numFmtId="3" fontId="0" fillId="5" borderId="2" xfId="0" applyNumberFormat="1" applyFont="1" applyFill="1" applyBorder="1"/>
    <xf numFmtId="3" fontId="0" fillId="4" borderId="4" xfId="0" applyNumberFormat="1" applyFont="1" applyFill="1" applyBorder="1"/>
    <xf numFmtId="3" fontId="8" fillId="0" borderId="3" xfId="0" applyNumberFormat="1" applyFont="1" applyBorder="1"/>
    <xf numFmtId="3" fontId="7" fillId="4" borderId="3" xfId="0" applyNumberFormat="1" applyFont="1" applyFill="1" applyBorder="1"/>
    <xf numFmtId="3" fontId="7" fillId="5" borderId="20" xfId="0" applyNumberFormat="1" applyFont="1" applyFill="1" applyBorder="1"/>
    <xf numFmtId="3" fontId="7" fillId="5" borderId="19" xfId="0" applyNumberFormat="1" applyFont="1" applyFill="1" applyBorder="1"/>
    <xf numFmtId="3" fontId="0" fillId="0" borderId="20" xfId="0" applyNumberFormat="1" applyBorder="1"/>
    <xf numFmtId="3" fontId="0" fillId="0" borderId="19" xfId="0" applyNumberFormat="1" applyBorder="1"/>
    <xf numFmtId="3" fontId="7" fillId="4" borderId="20" xfId="0" applyNumberFormat="1" applyFont="1" applyFill="1" applyBorder="1"/>
    <xf numFmtId="3" fontId="7" fillId="4" borderId="19" xfId="0" applyNumberFormat="1" applyFont="1" applyFill="1" applyBorder="1"/>
    <xf numFmtId="3" fontId="0" fillId="0" borderId="2" xfId="0" applyNumberFormat="1" applyBorder="1"/>
    <xf numFmtId="4" fontId="0" fillId="4" borderId="2" xfId="0" applyNumberFormat="1" applyFill="1" applyBorder="1"/>
    <xf numFmtId="4" fontId="0" fillId="0" borderId="2" xfId="0" applyNumberFormat="1" applyBorder="1"/>
    <xf numFmtId="4" fontId="0" fillId="4" borderId="2" xfId="0" applyNumberFormat="1" applyFont="1" applyFill="1" applyBorder="1"/>
    <xf numFmtId="4" fontId="0" fillId="4" borderId="4" xfId="0" applyNumberFormat="1" applyFont="1" applyFill="1" applyBorder="1"/>
    <xf numFmtId="4" fontId="0" fillId="0" borderId="3" xfId="0" applyNumberFormat="1" applyBorder="1"/>
    <xf numFmtId="4" fontId="0" fillId="0" borderId="20" xfId="0" applyNumberFormat="1" applyBorder="1"/>
    <xf numFmtId="4" fontId="0" fillId="0" borderId="19" xfId="0" applyNumberFormat="1" applyBorder="1"/>
    <xf numFmtId="4" fontId="0" fillId="5" borderId="2" xfId="0" applyNumberFormat="1" applyFont="1" applyFill="1" applyBorder="1"/>
    <xf numFmtId="0" fontId="24" fillId="0" borderId="82" xfId="6" applyFont="1" applyFill="1" applyBorder="1"/>
    <xf numFmtId="0" fontId="24" fillId="0" borderId="18" xfId="6" applyFont="1" applyFill="1" applyBorder="1"/>
    <xf numFmtId="0" fontId="46" fillId="8" borderId="30" xfId="5" applyFont="1" applyFill="1" applyBorder="1" applyAlignment="1">
      <alignment vertical="center" wrapText="1"/>
    </xf>
    <xf numFmtId="0" fontId="47" fillId="0" borderId="18" xfId="6" applyFont="1" applyFill="1" applyBorder="1" applyAlignment="1">
      <alignment wrapText="1"/>
    </xf>
    <xf numFmtId="0" fontId="47" fillId="0" borderId="18" xfId="0" applyFont="1" applyFill="1" applyBorder="1" applyAlignment="1">
      <alignment wrapText="1"/>
    </xf>
    <xf numFmtId="0" fontId="24" fillId="0" borderId="82" xfId="5" applyFont="1" applyFill="1" applyBorder="1" applyAlignment="1">
      <alignment vertical="center" wrapText="1"/>
    </xf>
    <xf numFmtId="0" fontId="24" fillId="0" borderId="82" xfId="5" applyFont="1" applyBorder="1" applyAlignment="1">
      <alignment vertical="center" wrapText="1"/>
    </xf>
    <xf numFmtId="0" fontId="48" fillId="10" borderId="82" xfId="2" applyFont="1" applyFill="1" applyBorder="1" applyAlignment="1">
      <alignment vertical="center" wrapText="1"/>
    </xf>
    <xf numFmtId="0" fontId="44" fillId="0" borderId="0" xfId="0" applyFont="1"/>
    <xf numFmtId="0" fontId="9" fillId="0" borderId="0" xfId="0" applyFont="1"/>
    <xf numFmtId="0" fontId="49" fillId="0" borderId="0" xfId="0" applyFont="1"/>
    <xf numFmtId="0" fontId="45" fillId="0" borderId="0" xfId="3" applyFont="1" applyAlignment="1">
      <alignment horizontal="right"/>
    </xf>
    <xf numFmtId="0" fontId="50" fillId="0" borderId="70" xfId="7" applyFont="1" applyBorder="1" applyAlignment="1">
      <alignment wrapText="1"/>
    </xf>
    <xf numFmtId="3" fontId="24" fillId="4" borderId="83" xfId="3" applyNumberFormat="1" applyFont="1" applyFill="1" applyBorder="1"/>
    <xf numFmtId="3" fontId="24" fillId="0" borderId="84" xfId="3" applyNumberFormat="1" applyFont="1" applyBorder="1"/>
    <xf numFmtId="3" fontId="24" fillId="0" borderId="84" xfId="3" applyNumberFormat="1" applyFont="1" applyFill="1" applyBorder="1"/>
    <xf numFmtId="3" fontId="24" fillId="0" borderId="85" xfId="3" applyNumberFormat="1" applyFont="1" applyFill="1" applyBorder="1"/>
    <xf numFmtId="3" fontId="24" fillId="4" borderId="86" xfId="5" applyNumberFormat="1" applyFont="1" applyFill="1" applyBorder="1"/>
    <xf numFmtId="3" fontId="28" fillId="8" borderId="86" xfId="5" applyNumberFormat="1" applyFont="1" applyFill="1" applyBorder="1"/>
    <xf numFmtId="0" fontId="24" fillId="9" borderId="83" xfId="5" applyFont="1" applyFill="1" applyBorder="1"/>
    <xf numFmtId="3" fontId="24" fillId="4" borderId="87" xfId="3" applyNumberFormat="1" applyFont="1" applyFill="1" applyBorder="1"/>
    <xf numFmtId="3" fontId="24" fillId="0" borderId="3" xfId="3" applyNumberFormat="1" applyFont="1" applyBorder="1"/>
    <xf numFmtId="3" fontId="24" fillId="0" borderId="3" xfId="3" applyNumberFormat="1" applyFont="1" applyFill="1" applyBorder="1"/>
    <xf numFmtId="3" fontId="47" fillId="0" borderId="10" xfId="0" applyNumberFormat="1" applyFont="1" applyBorder="1"/>
    <xf numFmtId="3" fontId="24" fillId="4" borderId="88" xfId="5" applyNumberFormat="1" applyFont="1" applyFill="1" applyBorder="1"/>
    <xf numFmtId="3" fontId="28" fillId="8" borderId="88" xfId="5" applyNumberFormat="1" applyFont="1" applyFill="1" applyBorder="1"/>
    <xf numFmtId="0" fontId="24" fillId="9" borderId="87" xfId="5" applyFont="1" applyFill="1" applyBorder="1"/>
    <xf numFmtId="3" fontId="24" fillId="0" borderId="87" xfId="6" applyNumberFormat="1" applyFont="1" applyBorder="1"/>
    <xf numFmtId="3" fontId="24" fillId="0" borderId="3" xfId="6" applyNumberFormat="1" applyFont="1" applyBorder="1"/>
    <xf numFmtId="2" fontId="24" fillId="9" borderId="83" xfId="5" applyNumberFormat="1" applyFont="1" applyFill="1" applyBorder="1"/>
    <xf numFmtId="2" fontId="24" fillId="9" borderId="87" xfId="5" applyNumberFormat="1" applyFont="1" applyFill="1" applyBorder="1"/>
    <xf numFmtId="0" fontId="24" fillId="9" borderId="90" xfId="5" applyFont="1" applyFill="1" applyBorder="1"/>
    <xf numFmtId="3" fontId="24" fillId="4" borderId="91" xfId="5" applyNumberFormat="1" applyFont="1" applyFill="1" applyBorder="1"/>
    <xf numFmtId="3" fontId="28" fillId="8" borderId="91" xfId="5" applyNumberFormat="1" applyFont="1" applyFill="1" applyBorder="1"/>
    <xf numFmtId="2" fontId="24" fillId="9" borderId="90" xfId="5" applyNumberFormat="1" applyFont="1" applyFill="1" applyBorder="1"/>
    <xf numFmtId="3" fontId="47" fillId="0" borderId="3" xfId="0" applyNumberFormat="1" applyFont="1" applyFill="1" applyBorder="1"/>
    <xf numFmtId="3" fontId="51" fillId="4" borderId="86" xfId="0" applyNumberFormat="1" applyFont="1" applyFill="1" applyBorder="1"/>
    <xf numFmtId="3" fontId="51" fillId="8" borderId="86" xfId="0" applyNumberFormat="1" applyFont="1" applyFill="1" applyBorder="1"/>
    <xf numFmtId="2" fontId="51" fillId="9" borderId="83" xfId="0" applyNumberFormat="1" applyFont="1" applyFill="1" applyBorder="1"/>
    <xf numFmtId="3" fontId="24" fillId="4" borderId="90" xfId="3" applyNumberFormat="1" applyFont="1" applyFill="1" applyBorder="1"/>
    <xf numFmtId="3" fontId="24" fillId="0" borderId="16" xfId="3" applyNumberFormat="1" applyFont="1" applyBorder="1"/>
    <xf numFmtId="3" fontId="51" fillId="4" borderId="88" xfId="0" applyNumberFormat="1" applyFont="1" applyFill="1" applyBorder="1"/>
    <xf numFmtId="3" fontId="51" fillId="8" borderId="88" xfId="0" applyNumberFormat="1" applyFont="1" applyFill="1" applyBorder="1"/>
    <xf numFmtId="2" fontId="51" fillId="9" borderId="87" xfId="0" applyNumberFormat="1" applyFont="1" applyFill="1" applyBorder="1"/>
    <xf numFmtId="3" fontId="47" fillId="4" borderId="86" xfId="0" applyNumberFormat="1" applyFont="1" applyFill="1" applyBorder="1"/>
    <xf numFmtId="3" fontId="47" fillId="8" borderId="86" xfId="0" applyNumberFormat="1" applyFont="1" applyFill="1" applyBorder="1"/>
    <xf numFmtId="0" fontId="47" fillId="9" borderId="83" xfId="0" applyFont="1" applyFill="1" applyBorder="1"/>
    <xf numFmtId="3" fontId="47" fillId="4" borderId="88" xfId="0" applyNumberFormat="1" applyFont="1" applyFill="1" applyBorder="1"/>
    <xf numFmtId="3" fontId="47" fillId="8" borderId="88" xfId="0" applyNumberFormat="1" applyFont="1" applyFill="1" applyBorder="1"/>
    <xf numFmtId="0" fontId="47" fillId="9" borderId="87" xfId="0" applyFont="1" applyFill="1" applyBorder="1"/>
    <xf numFmtId="3" fontId="47" fillId="4" borderId="95" xfId="0" applyNumberFormat="1" applyFont="1" applyFill="1" applyBorder="1"/>
    <xf numFmtId="3" fontId="47" fillId="0" borderId="96" xfId="0" applyNumberFormat="1" applyFont="1" applyBorder="1"/>
    <xf numFmtId="3" fontId="47" fillId="0" borderId="28" xfId="0" applyNumberFormat="1" applyFont="1" applyBorder="1"/>
    <xf numFmtId="3" fontId="47" fillId="0" borderId="28" xfId="0" applyNumberFormat="1" applyFont="1" applyFill="1" applyBorder="1"/>
    <xf numFmtId="3" fontId="24" fillId="0" borderId="43" xfId="3" applyNumberFormat="1" applyFont="1" applyBorder="1"/>
    <xf numFmtId="3" fontId="47" fillId="8" borderId="95" xfId="0" applyNumberFormat="1" applyFont="1" applyFill="1" applyBorder="1"/>
    <xf numFmtId="0" fontId="47" fillId="9" borderId="96" xfId="0" applyFont="1" applyFill="1" applyBorder="1"/>
    <xf numFmtId="3" fontId="24" fillId="0" borderId="83" xfId="5" applyNumberFormat="1" applyFont="1" applyBorder="1"/>
    <xf numFmtId="3" fontId="24" fillId="0" borderId="84" xfId="5" applyNumberFormat="1" applyFont="1" applyBorder="1"/>
    <xf numFmtId="3" fontId="24" fillId="0" borderId="97" xfId="3" applyNumberFormat="1" applyFont="1" applyBorder="1"/>
    <xf numFmtId="3" fontId="48" fillId="10" borderId="86" xfId="2" applyNumberFormat="1" applyFont="1" applyFill="1" applyBorder="1"/>
    <xf numFmtId="3" fontId="48" fillId="10" borderId="83" xfId="2" applyNumberFormat="1" applyFont="1" applyFill="1" applyBorder="1"/>
    <xf numFmtId="3" fontId="48" fillId="10" borderId="84" xfId="2" applyNumberFormat="1" applyFont="1" applyFill="1" applyBorder="1"/>
    <xf numFmtId="3" fontId="48" fillId="10" borderId="85" xfId="2" applyNumberFormat="1" applyFont="1" applyFill="1" applyBorder="1"/>
    <xf numFmtId="2" fontId="48" fillId="10" borderId="97" xfId="2" applyNumberFormat="1" applyFont="1" applyFill="1" applyBorder="1"/>
    <xf numFmtId="3" fontId="16" fillId="0" borderId="109" xfId="3" applyNumberFormat="1" applyFont="1" applyFill="1" applyBorder="1"/>
    <xf numFmtId="3" fontId="16" fillId="0" borderId="102" xfId="3" applyNumberFormat="1" applyFont="1" applyFill="1" applyBorder="1"/>
    <xf numFmtId="3" fontId="16" fillId="0" borderId="49" xfId="3" applyNumberFormat="1" applyFont="1" applyFill="1" applyBorder="1"/>
    <xf numFmtId="3" fontId="16" fillId="0" borderId="54" xfId="3" applyNumberFormat="1" applyFont="1" applyFill="1" applyBorder="1"/>
    <xf numFmtId="3" fontId="16" fillId="0" borderId="128" xfId="3" applyNumberFormat="1" applyFont="1" applyFill="1" applyBorder="1"/>
    <xf numFmtId="3" fontId="16" fillId="0" borderId="32" xfId="3" applyNumberFormat="1" applyFont="1" applyFill="1" applyBorder="1"/>
    <xf numFmtId="3" fontId="16" fillId="0" borderId="109" xfId="3" applyNumberFormat="1" applyFont="1" applyBorder="1"/>
    <xf numFmtId="3" fontId="16" fillId="0" borderId="123" xfId="3" applyNumberFormat="1" applyFont="1" applyBorder="1"/>
    <xf numFmtId="3" fontId="16" fillId="0" borderId="49" xfId="3" applyNumberFormat="1" applyFont="1" applyBorder="1"/>
    <xf numFmtId="3" fontId="16" fillId="0" borderId="102" xfId="3" applyNumberFormat="1" applyFont="1" applyBorder="1"/>
    <xf numFmtId="3" fontId="34" fillId="8" borderId="14" xfId="3" applyNumberFormat="1" applyFont="1" applyFill="1" applyBorder="1"/>
    <xf numFmtId="3" fontId="34" fillId="8" borderId="111" xfId="3" applyNumberFormat="1" applyFont="1" applyFill="1" applyBorder="1"/>
    <xf numFmtId="3" fontId="34" fillId="8" borderId="15" xfId="3" applyNumberFormat="1" applyFont="1" applyFill="1" applyBorder="1"/>
    <xf numFmtId="3" fontId="34" fillId="8" borderId="17" xfId="3" applyNumberFormat="1" applyFont="1" applyFill="1" applyBorder="1"/>
    <xf numFmtId="3" fontId="28" fillId="8" borderId="77" xfId="5" applyNumberFormat="1" applyFont="1" applyFill="1" applyBorder="1"/>
    <xf numFmtId="3" fontId="28" fillId="2" borderId="89" xfId="1" applyNumberFormat="1" applyFont="1" applyBorder="1"/>
    <xf numFmtId="3" fontId="28" fillId="2" borderId="33" xfId="1" applyNumberFormat="1" applyFont="1" applyBorder="1"/>
    <xf numFmtId="3" fontId="28" fillId="2" borderId="32" xfId="1" applyNumberFormat="1" applyFont="1" applyBorder="1"/>
    <xf numFmtId="3" fontId="28" fillId="4" borderId="77" xfId="5" applyNumberFormat="1" applyFont="1" applyFill="1" applyBorder="1"/>
    <xf numFmtId="2" fontId="28" fillId="9" borderId="89" xfId="5" applyNumberFormat="1" applyFont="1" applyFill="1" applyBorder="1"/>
    <xf numFmtId="3" fontId="28" fillId="4" borderId="67" xfId="5" applyNumberFormat="1" applyFont="1" applyFill="1" applyBorder="1"/>
    <xf numFmtId="3" fontId="28" fillId="2" borderId="68" xfId="1" applyNumberFormat="1" applyFont="1" applyBorder="1"/>
    <xf numFmtId="3" fontId="28" fillId="2" borderId="7" xfId="1" applyNumberFormat="1" applyFont="1" applyBorder="1"/>
    <xf numFmtId="3" fontId="28" fillId="2" borderId="23" xfId="1" applyNumberFormat="1" applyFont="1" applyBorder="1"/>
    <xf numFmtId="3" fontId="28" fillId="8" borderId="67" xfId="5" applyNumberFormat="1" applyFont="1" applyFill="1" applyBorder="1"/>
    <xf numFmtId="2" fontId="28" fillId="9" borderId="68" xfId="5" applyNumberFormat="1" applyFont="1" applyFill="1" applyBorder="1"/>
    <xf numFmtId="3" fontId="28" fillId="8" borderId="92" xfId="5" applyNumberFormat="1" applyFont="1" applyFill="1" applyBorder="1"/>
    <xf numFmtId="3" fontId="28" fillId="2" borderId="93" xfId="1" applyNumberFormat="1" applyFont="1" applyBorder="1"/>
    <xf numFmtId="3" fontId="28" fillId="2" borderId="76" xfId="1" applyNumberFormat="1" applyFont="1" applyBorder="1"/>
    <xf numFmtId="3" fontId="28" fillId="2" borderId="94" xfId="1" applyNumberFormat="1" applyFont="1" applyBorder="1"/>
    <xf numFmtId="3" fontId="28" fillId="4" borderId="92" xfId="5" applyNumberFormat="1" applyFont="1" applyFill="1" applyBorder="1"/>
    <xf numFmtId="2" fontId="28" fillId="9" borderId="93" xfId="5" applyNumberFormat="1" applyFont="1" applyFill="1" applyBorder="1"/>
    <xf numFmtId="0" fontId="10" fillId="0" borderId="0" xfId="3" applyFont="1" applyAlignment="1">
      <alignment wrapText="1"/>
    </xf>
    <xf numFmtId="0" fontId="0" fillId="0" borderId="0" xfId="0" applyAlignment="1">
      <alignment wrapText="1"/>
    </xf>
    <xf numFmtId="0" fontId="12" fillId="0" borderId="7" xfId="3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2" fillId="0" borderId="7" xfId="3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0" borderId="7" xfId="3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textRotation="90"/>
    </xf>
    <xf numFmtId="0" fontId="0" fillId="0" borderId="26" xfId="0" applyFill="1" applyBorder="1" applyAlignment="1">
      <alignment horizontal="center" vertical="center" textRotation="90"/>
    </xf>
    <xf numFmtId="0" fontId="0" fillId="0" borderId="74" xfId="0" applyFill="1" applyBorder="1" applyAlignment="1">
      <alignment horizontal="center" vertical="center" textRotation="90"/>
    </xf>
    <xf numFmtId="0" fontId="0" fillId="9" borderId="68" xfId="0" applyFill="1" applyBorder="1" applyAlignment="1">
      <alignment horizontal="center" textRotation="90" wrapText="1"/>
    </xf>
    <xf numFmtId="0" fontId="0" fillId="9" borderId="71" xfId="0" applyFill="1" applyBorder="1" applyAlignment="1">
      <alignment horizontal="center" textRotation="90" wrapText="1"/>
    </xf>
    <xf numFmtId="0" fontId="0" fillId="9" borderId="72" xfId="0" applyFill="1" applyBorder="1" applyAlignment="1">
      <alignment horizontal="center" textRotation="90" wrapText="1"/>
    </xf>
    <xf numFmtId="0" fontId="9" fillId="0" borderId="68" xfId="6" applyBorder="1" applyAlignment="1">
      <alignment horizontal="center" textRotation="90" wrapText="1"/>
    </xf>
    <xf numFmtId="0" fontId="9" fillId="0" borderId="72" xfId="6" applyBorder="1" applyAlignment="1">
      <alignment horizontal="center"/>
    </xf>
    <xf numFmtId="0" fontId="9" fillId="0" borderId="7" xfId="6" applyBorder="1" applyAlignment="1">
      <alignment horizontal="center" textRotation="90" wrapText="1"/>
    </xf>
    <xf numFmtId="0" fontId="9" fillId="0" borderId="12" xfId="6" applyBorder="1" applyAlignment="1">
      <alignment horizontal="center" textRotation="90" wrapText="1"/>
    </xf>
    <xf numFmtId="0" fontId="9" fillId="0" borderId="7" xfId="6" applyFill="1" applyBorder="1" applyAlignment="1">
      <alignment horizontal="center" textRotation="90" wrapText="1"/>
    </xf>
    <xf numFmtId="0" fontId="9" fillId="0" borderId="12" xfId="6" applyFill="1" applyBorder="1" applyAlignment="1">
      <alignment horizontal="center" textRotation="90" wrapText="1"/>
    </xf>
    <xf numFmtId="0" fontId="9" fillId="0" borderId="12" xfId="6" applyBorder="1" applyAlignment="1"/>
    <xf numFmtId="0" fontId="13" fillId="4" borderId="67" xfId="0" applyFont="1" applyFill="1" applyBorder="1" applyAlignment="1">
      <alignment horizontal="center" textRotation="90" wrapText="1"/>
    </xf>
    <xf numFmtId="0" fontId="13" fillId="4" borderId="69" xfId="0" applyFont="1" applyFill="1" applyBorder="1" applyAlignment="1">
      <alignment horizontal="center" textRotation="90" wrapText="1"/>
    </xf>
    <xf numFmtId="0" fontId="13" fillId="4" borderId="73" xfId="0" applyFont="1" applyFill="1" applyBorder="1" applyAlignment="1">
      <alignment horizontal="center" textRotation="90" wrapText="1"/>
    </xf>
    <xf numFmtId="0" fontId="13" fillId="8" borderId="67" xfId="0" applyFont="1" applyFill="1" applyBorder="1" applyAlignment="1">
      <alignment horizontal="center" textRotation="90" wrapText="1"/>
    </xf>
    <xf numFmtId="0" fontId="13" fillId="8" borderId="69" xfId="0" applyFont="1" applyFill="1" applyBorder="1" applyAlignment="1">
      <alignment horizontal="center" textRotation="90" wrapText="1"/>
    </xf>
    <xf numFmtId="0" fontId="13" fillId="8" borderId="73" xfId="0" applyFont="1" applyFill="1" applyBorder="1" applyAlignment="1">
      <alignment horizontal="center" textRotation="90" wrapText="1"/>
    </xf>
    <xf numFmtId="0" fontId="0" fillId="0" borderId="24" xfId="0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0" fillId="0" borderId="74" xfId="0" applyBorder="1" applyAlignment="1">
      <alignment horizontal="center" vertical="center" textRotation="90"/>
    </xf>
    <xf numFmtId="0" fontId="9" fillId="0" borderId="8" xfId="5" applyBorder="1" applyAlignment="1">
      <alignment horizontal="center" vertical="center" textRotation="90" wrapText="1"/>
    </xf>
    <xf numFmtId="0" fontId="9" fillId="0" borderId="11" xfId="5" applyBorder="1" applyAlignment="1">
      <alignment horizontal="center" vertical="center" textRotation="90"/>
    </xf>
    <xf numFmtId="0" fontId="9" fillId="0" borderId="75" xfId="5" applyBorder="1" applyAlignment="1">
      <alignment horizontal="center" vertical="center" textRotation="90"/>
    </xf>
    <xf numFmtId="0" fontId="9" fillId="0" borderId="7" xfId="5" applyBorder="1" applyAlignment="1">
      <alignment horizontal="center" vertical="center"/>
    </xf>
    <xf numFmtId="0" fontId="9" fillId="0" borderId="10" xfId="5" applyBorder="1" applyAlignment="1">
      <alignment horizontal="center" vertical="center"/>
    </xf>
    <xf numFmtId="0" fontId="9" fillId="0" borderId="76" xfId="5" applyBorder="1" applyAlignment="1">
      <alignment horizontal="center" vertical="center"/>
    </xf>
    <xf numFmtId="0" fontId="9" fillId="4" borderId="67" xfId="5" applyFont="1" applyFill="1" applyBorder="1" applyAlignment="1">
      <alignment horizontal="center" textRotation="90" wrapText="1"/>
    </xf>
    <xf numFmtId="0" fontId="9" fillId="4" borderId="69" xfId="5" applyFont="1" applyFill="1" applyBorder="1" applyAlignment="1">
      <alignment horizontal="center" textRotation="90" wrapText="1"/>
    </xf>
    <xf numFmtId="4" fontId="24" fillId="0" borderId="11" xfId="6" applyNumberFormat="1" applyFont="1" applyFill="1" applyBorder="1" applyAlignment="1">
      <alignment horizontal="center" vertical="center" wrapText="1"/>
    </xf>
    <xf numFmtId="4" fontId="24" fillId="0" borderId="46" xfId="6" applyNumberFormat="1" applyFont="1" applyFill="1" applyBorder="1" applyAlignment="1">
      <alignment horizontal="center" vertical="center" wrapText="1"/>
    </xf>
    <xf numFmtId="0" fontId="25" fillId="0" borderId="7" xfId="7" applyBorder="1" applyAlignment="1">
      <alignment horizontal="center" vertical="center" textRotation="90" wrapText="1"/>
    </xf>
    <xf numFmtId="0" fontId="25" fillId="0" borderId="10" xfId="7" applyBorder="1" applyAlignment="1">
      <alignment horizontal="center" vertical="center" textRotation="90" wrapText="1"/>
    </xf>
    <xf numFmtId="0" fontId="25" fillId="0" borderId="76" xfId="7" applyBorder="1" applyAlignment="1">
      <alignment horizontal="center" vertical="center" textRotation="90" wrapText="1"/>
    </xf>
    <xf numFmtId="0" fontId="25" fillId="0" borderId="22" xfId="7" applyFont="1" applyBorder="1" applyAlignment="1">
      <alignment horizontal="center" vertical="center" wrapText="1"/>
    </xf>
    <xf numFmtId="0" fontId="25" fillId="0" borderId="5" xfId="7" applyFont="1" applyBorder="1" applyAlignment="1">
      <alignment horizontal="center" vertical="center" wrapText="1"/>
    </xf>
    <xf numFmtId="0" fontId="25" fillId="0" borderId="94" xfId="7" applyFont="1" applyBorder="1" applyAlignment="1">
      <alignment horizontal="center" vertical="center" wrapText="1"/>
    </xf>
    <xf numFmtId="0" fontId="13" fillId="11" borderId="95" xfId="7" applyFont="1" applyFill="1" applyBorder="1" applyAlignment="1">
      <alignment horizontal="center" wrapText="1"/>
    </xf>
    <xf numFmtId="0" fontId="13" fillId="11" borderId="101" xfId="7" applyFont="1" applyFill="1" applyBorder="1" applyAlignment="1">
      <alignment horizontal="center" wrapText="1"/>
    </xf>
    <xf numFmtId="0" fontId="9" fillId="11" borderId="95" xfId="7" applyFont="1" applyFill="1" applyBorder="1" applyAlignment="1">
      <alignment horizontal="center" textRotation="90" wrapText="1"/>
    </xf>
    <xf numFmtId="0" fontId="9" fillId="11" borderId="101" xfId="7" applyFont="1" applyFill="1" applyBorder="1" applyAlignment="1">
      <alignment horizontal="center" textRotation="90" wrapText="1"/>
    </xf>
    <xf numFmtId="0" fontId="13" fillId="13" borderId="67" xfId="7" applyFont="1" applyFill="1" applyBorder="1" applyAlignment="1">
      <alignment horizontal="center" wrapText="1"/>
    </xf>
    <xf numFmtId="0" fontId="13" fillId="13" borderId="69" xfId="7" applyFont="1" applyFill="1" applyBorder="1" applyAlignment="1">
      <alignment horizontal="center" wrapText="1"/>
    </xf>
    <xf numFmtId="0" fontId="13" fillId="13" borderId="73" xfId="7" applyFont="1" applyFill="1" applyBorder="1" applyAlignment="1">
      <alignment horizontal="center" wrapText="1"/>
    </xf>
    <xf numFmtId="4" fontId="25" fillId="0" borderId="100" xfId="7" applyNumberFormat="1" applyFont="1" applyFill="1" applyBorder="1" applyAlignment="1">
      <alignment horizontal="center" wrapText="1"/>
    </xf>
    <xf numFmtId="4" fontId="25" fillId="0" borderId="102" xfId="7" applyNumberFormat="1" applyFont="1" applyFill="1" applyBorder="1" applyAlignment="1">
      <alignment horizontal="center" wrapText="1"/>
    </xf>
    <xf numFmtId="0" fontId="9" fillId="7" borderId="53" xfId="6" applyFont="1" applyFill="1" applyBorder="1" applyAlignment="1">
      <alignment horizontal="left"/>
    </xf>
    <xf numFmtId="0" fontId="9" fillId="7" borderId="102" xfId="6" applyFont="1" applyFill="1" applyBorder="1" applyAlignment="1">
      <alignment horizontal="left"/>
    </xf>
    <xf numFmtId="4" fontId="25" fillId="0" borderId="27" xfId="7" applyNumberFormat="1" applyFont="1" applyFill="1" applyBorder="1" applyAlignment="1">
      <alignment horizontal="center" vertical="center" wrapText="1"/>
    </xf>
    <xf numFmtId="4" fontId="25" fillId="0" borderId="54" xfId="7" applyNumberFormat="1" applyFont="1" applyFill="1" applyBorder="1" applyAlignment="1">
      <alignment horizontal="center" vertical="center" wrapText="1"/>
    </xf>
    <xf numFmtId="0" fontId="25" fillId="12" borderId="43" xfId="7" applyFont="1" applyFill="1" applyBorder="1" applyAlignment="1">
      <alignment horizontal="center" wrapText="1"/>
    </xf>
    <xf numFmtId="0" fontId="25" fillId="12" borderId="28" xfId="7" applyFont="1" applyFill="1" applyBorder="1" applyAlignment="1">
      <alignment horizontal="center" wrapText="1"/>
    </xf>
    <xf numFmtId="0" fontId="25" fillId="12" borderId="1" xfId="7" applyFont="1" applyFill="1" applyBorder="1" applyAlignment="1">
      <alignment horizontal="center" wrapText="1"/>
    </xf>
    <xf numFmtId="4" fontId="24" fillId="0" borderId="29" xfId="6" applyNumberFormat="1" applyFont="1" applyFill="1" applyBorder="1" applyAlignment="1">
      <alignment horizontal="center" vertical="center" wrapText="1"/>
    </xf>
    <xf numFmtId="0" fontId="16" fillId="0" borderId="53" xfId="6" applyFont="1" applyFill="1" applyBorder="1" applyAlignment="1">
      <alignment horizontal="left"/>
    </xf>
    <xf numFmtId="0" fontId="16" fillId="0" borderId="102" xfId="6" applyFont="1" applyFill="1" applyBorder="1" applyAlignment="1">
      <alignment horizontal="left"/>
    </xf>
    <xf numFmtId="0" fontId="16" fillId="14" borderId="13" xfId="6" applyFont="1" applyFill="1" applyBorder="1" applyAlignment="1">
      <alignment horizontal="center"/>
    </xf>
    <xf numFmtId="0" fontId="16" fillId="14" borderId="111" xfId="6" applyFont="1" applyFill="1" applyBorder="1" applyAlignment="1">
      <alignment horizontal="center"/>
    </xf>
    <xf numFmtId="0" fontId="29" fillId="0" borderId="0" xfId="3" applyFont="1" applyAlignment="1">
      <alignment wrapText="1"/>
    </xf>
    <xf numFmtId="0" fontId="31" fillId="0" borderId="0" xfId="0" applyFont="1" applyAlignment="1">
      <alignment wrapText="1"/>
    </xf>
    <xf numFmtId="0" fontId="9" fillId="0" borderId="7" xfId="3" applyFont="1" applyBorder="1" applyAlignment="1">
      <alignment horizontal="center" vertical="center" wrapText="1"/>
    </xf>
    <xf numFmtId="0" fontId="13" fillId="16" borderId="69" xfId="3" applyFont="1" applyFill="1" applyBorder="1" applyAlignment="1">
      <alignment vertical="center" textRotation="90"/>
    </xf>
    <xf numFmtId="0" fontId="13" fillId="16" borderId="73" xfId="3" applyFont="1" applyFill="1" applyBorder="1" applyAlignment="1">
      <alignment vertical="center" textRotation="90"/>
    </xf>
    <xf numFmtId="0" fontId="9" fillId="0" borderId="5" xfId="3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7" xfId="3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9" fillId="0" borderId="7" xfId="3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16" borderId="69" xfId="3" applyFont="1" applyFill="1" applyBorder="1" applyAlignment="1">
      <alignment horizontal="center" vertical="center" textRotation="90"/>
    </xf>
    <xf numFmtId="0" fontId="13" fillId="16" borderId="91" xfId="3" applyFont="1" applyFill="1" applyBorder="1" applyAlignment="1">
      <alignment horizontal="center" vertical="center" textRotation="90"/>
    </xf>
    <xf numFmtId="0" fontId="22" fillId="0" borderId="0" xfId="3" applyFont="1" applyAlignment="1">
      <alignment wrapText="1"/>
    </xf>
    <xf numFmtId="0" fontId="33" fillId="0" borderId="0" xfId="0" applyFont="1" applyAlignment="1">
      <alignment wrapText="1"/>
    </xf>
    <xf numFmtId="0" fontId="9" fillId="0" borderId="1" xfId="3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13" fillId="16" borderId="119" xfId="3" applyFont="1" applyFill="1" applyBorder="1" applyAlignment="1">
      <alignment horizontal="center" vertical="center" textRotation="90"/>
    </xf>
    <xf numFmtId="0" fontId="0" fillId="0" borderId="69" xfId="0" applyBorder="1" applyAlignment="1">
      <alignment horizontal="center" vertical="center" textRotation="90"/>
    </xf>
    <xf numFmtId="0" fontId="0" fillId="0" borderId="73" xfId="0" applyBorder="1" applyAlignment="1">
      <alignment horizontal="center" vertical="center" textRotation="90"/>
    </xf>
  </cellXfs>
  <cellStyles count="12">
    <cellStyle name="40 % – Zvýraznění6" xfId="2" builtinId="51"/>
    <cellStyle name="Normální" xfId="0" builtinId="0"/>
    <cellStyle name="Normální 2" xfId="5"/>
    <cellStyle name="normální 5" xfId="6"/>
    <cellStyle name="normální_bilance 2008" xfId="10"/>
    <cellStyle name="normální_PC2000 2" xfId="11"/>
    <cellStyle name="normální_pozadORG 2" xfId="3"/>
    <cellStyle name="normální_Sešit1 2" xfId="9"/>
    <cellStyle name="normální_Sešit3_1" xfId="8"/>
    <cellStyle name="normální_Tabrozpis2000" xfId="4"/>
    <cellStyle name="Správně" xfId="1" builtinId="26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kce_SEI2/Odbor_10/Oddeleni_100/Jurkov&#225;/2016/Ostatn&#237;/Kniha%20podklady/tabulka%20OP&#344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RS"/>
      <sheetName val="udr"/>
      <sheetName val="souhrn"/>
      <sheetName val="Org"/>
    </sheetNames>
    <sheetDataSet>
      <sheetData sheetId="0"/>
      <sheetData sheetId="1"/>
      <sheetData sheetId="2"/>
      <sheetData sheetId="3">
        <row r="11">
          <cell r="C11">
            <v>23078527</v>
          </cell>
        </row>
        <row r="12">
          <cell r="C12">
            <v>60317124</v>
          </cell>
        </row>
        <row r="13">
          <cell r="C13">
            <v>30630505</v>
          </cell>
        </row>
        <row r="14">
          <cell r="C14">
            <v>106935282</v>
          </cell>
        </row>
        <row r="15">
          <cell r="C15">
            <v>6646000</v>
          </cell>
        </row>
        <row r="16">
          <cell r="C16">
            <v>70283479</v>
          </cell>
        </row>
        <row r="17">
          <cell r="C17">
            <v>183186696</v>
          </cell>
        </row>
        <row r="18">
          <cell r="C18">
            <v>5059048</v>
          </cell>
        </row>
        <row r="22">
          <cell r="C22">
            <v>7651986</v>
          </cell>
        </row>
        <row r="23">
          <cell r="C23">
            <v>387130</v>
          </cell>
        </row>
        <row r="24">
          <cell r="C24">
            <v>250000</v>
          </cell>
        </row>
        <row r="27">
          <cell r="C27">
            <v>0</v>
          </cell>
          <cell r="G27">
            <v>0</v>
          </cell>
        </row>
        <row r="28">
          <cell r="C28">
            <v>0</v>
          </cell>
          <cell r="G28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E12" sqref="E12"/>
    </sheetView>
  </sheetViews>
  <sheetFormatPr defaultRowHeight="15" x14ac:dyDescent="0.25"/>
  <cols>
    <col min="1" max="1" width="75.7109375" customWidth="1"/>
    <col min="2" max="2" width="18.140625" customWidth="1"/>
    <col min="3" max="3" width="18" customWidth="1"/>
    <col min="4" max="4" width="13.7109375" customWidth="1"/>
    <col min="5" max="5" width="13.85546875" customWidth="1"/>
    <col min="6" max="6" width="12" customWidth="1"/>
    <col min="7" max="8" width="13.5703125" customWidth="1"/>
    <col min="9" max="9" width="14.28515625" customWidth="1"/>
    <col min="10" max="10" width="15.140625" customWidth="1"/>
    <col min="11" max="11" width="17" customWidth="1"/>
    <col min="12" max="12" width="17.42578125" customWidth="1"/>
    <col min="257" max="257" width="75.7109375" customWidth="1"/>
    <col min="258" max="258" width="18.140625" customWidth="1"/>
    <col min="259" max="259" width="18" customWidth="1"/>
    <col min="260" max="260" width="13.7109375" customWidth="1"/>
    <col min="261" max="261" width="13.85546875" customWidth="1"/>
    <col min="262" max="262" width="12" customWidth="1"/>
    <col min="263" max="264" width="13.5703125" customWidth="1"/>
    <col min="265" max="265" width="14.28515625" customWidth="1"/>
    <col min="266" max="266" width="15.140625" customWidth="1"/>
    <col min="267" max="267" width="17" customWidth="1"/>
    <col min="268" max="268" width="17.42578125" customWidth="1"/>
    <col min="513" max="513" width="75.7109375" customWidth="1"/>
    <col min="514" max="514" width="18.140625" customWidth="1"/>
    <col min="515" max="515" width="18" customWidth="1"/>
    <col min="516" max="516" width="13.7109375" customWidth="1"/>
    <col min="517" max="517" width="13.85546875" customWidth="1"/>
    <col min="518" max="518" width="12" customWidth="1"/>
    <col min="519" max="520" width="13.5703125" customWidth="1"/>
    <col min="521" max="521" width="14.28515625" customWidth="1"/>
    <col min="522" max="522" width="15.140625" customWidth="1"/>
    <col min="523" max="523" width="17" customWidth="1"/>
    <col min="524" max="524" width="17.42578125" customWidth="1"/>
    <col min="769" max="769" width="75.7109375" customWidth="1"/>
    <col min="770" max="770" width="18.140625" customWidth="1"/>
    <col min="771" max="771" width="18" customWidth="1"/>
    <col min="772" max="772" width="13.7109375" customWidth="1"/>
    <col min="773" max="773" width="13.85546875" customWidth="1"/>
    <col min="774" max="774" width="12" customWidth="1"/>
    <col min="775" max="776" width="13.5703125" customWidth="1"/>
    <col min="777" max="777" width="14.28515625" customWidth="1"/>
    <col min="778" max="778" width="15.140625" customWidth="1"/>
    <col min="779" max="779" width="17" customWidth="1"/>
    <col min="780" max="780" width="17.42578125" customWidth="1"/>
    <col min="1025" max="1025" width="75.7109375" customWidth="1"/>
    <col min="1026" max="1026" width="18.140625" customWidth="1"/>
    <col min="1027" max="1027" width="18" customWidth="1"/>
    <col min="1028" max="1028" width="13.7109375" customWidth="1"/>
    <col min="1029" max="1029" width="13.85546875" customWidth="1"/>
    <col min="1030" max="1030" width="12" customWidth="1"/>
    <col min="1031" max="1032" width="13.5703125" customWidth="1"/>
    <col min="1033" max="1033" width="14.28515625" customWidth="1"/>
    <col min="1034" max="1034" width="15.140625" customWidth="1"/>
    <col min="1035" max="1035" width="17" customWidth="1"/>
    <col min="1036" max="1036" width="17.42578125" customWidth="1"/>
    <col min="1281" max="1281" width="75.7109375" customWidth="1"/>
    <col min="1282" max="1282" width="18.140625" customWidth="1"/>
    <col min="1283" max="1283" width="18" customWidth="1"/>
    <col min="1284" max="1284" width="13.7109375" customWidth="1"/>
    <col min="1285" max="1285" width="13.85546875" customWidth="1"/>
    <col min="1286" max="1286" width="12" customWidth="1"/>
    <col min="1287" max="1288" width="13.5703125" customWidth="1"/>
    <col min="1289" max="1289" width="14.28515625" customWidth="1"/>
    <col min="1290" max="1290" width="15.140625" customWidth="1"/>
    <col min="1291" max="1291" width="17" customWidth="1"/>
    <col min="1292" max="1292" width="17.42578125" customWidth="1"/>
    <col min="1537" max="1537" width="75.7109375" customWidth="1"/>
    <col min="1538" max="1538" width="18.140625" customWidth="1"/>
    <col min="1539" max="1539" width="18" customWidth="1"/>
    <col min="1540" max="1540" width="13.7109375" customWidth="1"/>
    <col min="1541" max="1541" width="13.85546875" customWidth="1"/>
    <col min="1542" max="1542" width="12" customWidth="1"/>
    <col min="1543" max="1544" width="13.5703125" customWidth="1"/>
    <col min="1545" max="1545" width="14.28515625" customWidth="1"/>
    <col min="1546" max="1546" width="15.140625" customWidth="1"/>
    <col min="1547" max="1547" width="17" customWidth="1"/>
    <col min="1548" max="1548" width="17.42578125" customWidth="1"/>
    <col min="1793" max="1793" width="75.7109375" customWidth="1"/>
    <col min="1794" max="1794" width="18.140625" customWidth="1"/>
    <col min="1795" max="1795" width="18" customWidth="1"/>
    <col min="1796" max="1796" width="13.7109375" customWidth="1"/>
    <col min="1797" max="1797" width="13.85546875" customWidth="1"/>
    <col min="1798" max="1798" width="12" customWidth="1"/>
    <col min="1799" max="1800" width="13.5703125" customWidth="1"/>
    <col min="1801" max="1801" width="14.28515625" customWidth="1"/>
    <col min="1802" max="1802" width="15.140625" customWidth="1"/>
    <col min="1803" max="1803" width="17" customWidth="1"/>
    <col min="1804" max="1804" width="17.42578125" customWidth="1"/>
    <col min="2049" max="2049" width="75.7109375" customWidth="1"/>
    <col min="2050" max="2050" width="18.140625" customWidth="1"/>
    <col min="2051" max="2051" width="18" customWidth="1"/>
    <col min="2052" max="2052" width="13.7109375" customWidth="1"/>
    <col min="2053" max="2053" width="13.85546875" customWidth="1"/>
    <col min="2054" max="2054" width="12" customWidth="1"/>
    <col min="2055" max="2056" width="13.5703125" customWidth="1"/>
    <col min="2057" max="2057" width="14.28515625" customWidth="1"/>
    <col min="2058" max="2058" width="15.140625" customWidth="1"/>
    <col min="2059" max="2059" width="17" customWidth="1"/>
    <col min="2060" max="2060" width="17.42578125" customWidth="1"/>
    <col min="2305" max="2305" width="75.7109375" customWidth="1"/>
    <col min="2306" max="2306" width="18.140625" customWidth="1"/>
    <col min="2307" max="2307" width="18" customWidth="1"/>
    <col min="2308" max="2308" width="13.7109375" customWidth="1"/>
    <col min="2309" max="2309" width="13.85546875" customWidth="1"/>
    <col min="2310" max="2310" width="12" customWidth="1"/>
    <col min="2311" max="2312" width="13.5703125" customWidth="1"/>
    <col min="2313" max="2313" width="14.28515625" customWidth="1"/>
    <col min="2314" max="2314" width="15.140625" customWidth="1"/>
    <col min="2315" max="2315" width="17" customWidth="1"/>
    <col min="2316" max="2316" width="17.42578125" customWidth="1"/>
    <col min="2561" max="2561" width="75.7109375" customWidth="1"/>
    <col min="2562" max="2562" width="18.140625" customWidth="1"/>
    <col min="2563" max="2563" width="18" customWidth="1"/>
    <col min="2564" max="2564" width="13.7109375" customWidth="1"/>
    <col min="2565" max="2565" width="13.85546875" customWidth="1"/>
    <col min="2566" max="2566" width="12" customWidth="1"/>
    <col min="2567" max="2568" width="13.5703125" customWidth="1"/>
    <col min="2569" max="2569" width="14.28515625" customWidth="1"/>
    <col min="2570" max="2570" width="15.140625" customWidth="1"/>
    <col min="2571" max="2571" width="17" customWidth="1"/>
    <col min="2572" max="2572" width="17.42578125" customWidth="1"/>
    <col min="2817" max="2817" width="75.7109375" customWidth="1"/>
    <col min="2818" max="2818" width="18.140625" customWidth="1"/>
    <col min="2819" max="2819" width="18" customWidth="1"/>
    <col min="2820" max="2820" width="13.7109375" customWidth="1"/>
    <col min="2821" max="2821" width="13.85546875" customWidth="1"/>
    <col min="2822" max="2822" width="12" customWidth="1"/>
    <col min="2823" max="2824" width="13.5703125" customWidth="1"/>
    <col min="2825" max="2825" width="14.28515625" customWidth="1"/>
    <col min="2826" max="2826" width="15.140625" customWidth="1"/>
    <col min="2827" max="2827" width="17" customWidth="1"/>
    <col min="2828" max="2828" width="17.42578125" customWidth="1"/>
    <col min="3073" max="3073" width="75.7109375" customWidth="1"/>
    <col min="3074" max="3074" width="18.140625" customWidth="1"/>
    <col min="3075" max="3075" width="18" customWidth="1"/>
    <col min="3076" max="3076" width="13.7109375" customWidth="1"/>
    <col min="3077" max="3077" width="13.85546875" customWidth="1"/>
    <col min="3078" max="3078" width="12" customWidth="1"/>
    <col min="3079" max="3080" width="13.5703125" customWidth="1"/>
    <col min="3081" max="3081" width="14.28515625" customWidth="1"/>
    <col min="3082" max="3082" width="15.140625" customWidth="1"/>
    <col min="3083" max="3083" width="17" customWidth="1"/>
    <col min="3084" max="3084" width="17.42578125" customWidth="1"/>
    <col min="3329" max="3329" width="75.7109375" customWidth="1"/>
    <col min="3330" max="3330" width="18.140625" customWidth="1"/>
    <col min="3331" max="3331" width="18" customWidth="1"/>
    <col min="3332" max="3332" width="13.7109375" customWidth="1"/>
    <col min="3333" max="3333" width="13.85546875" customWidth="1"/>
    <col min="3334" max="3334" width="12" customWidth="1"/>
    <col min="3335" max="3336" width="13.5703125" customWidth="1"/>
    <col min="3337" max="3337" width="14.28515625" customWidth="1"/>
    <col min="3338" max="3338" width="15.140625" customWidth="1"/>
    <col min="3339" max="3339" width="17" customWidth="1"/>
    <col min="3340" max="3340" width="17.42578125" customWidth="1"/>
    <col min="3585" max="3585" width="75.7109375" customWidth="1"/>
    <col min="3586" max="3586" width="18.140625" customWidth="1"/>
    <col min="3587" max="3587" width="18" customWidth="1"/>
    <col min="3588" max="3588" width="13.7109375" customWidth="1"/>
    <col min="3589" max="3589" width="13.85546875" customWidth="1"/>
    <col min="3590" max="3590" width="12" customWidth="1"/>
    <col min="3591" max="3592" width="13.5703125" customWidth="1"/>
    <col min="3593" max="3593" width="14.28515625" customWidth="1"/>
    <col min="3594" max="3594" width="15.140625" customWidth="1"/>
    <col min="3595" max="3595" width="17" customWidth="1"/>
    <col min="3596" max="3596" width="17.42578125" customWidth="1"/>
    <col min="3841" max="3841" width="75.7109375" customWidth="1"/>
    <col min="3842" max="3842" width="18.140625" customWidth="1"/>
    <col min="3843" max="3843" width="18" customWidth="1"/>
    <col min="3844" max="3844" width="13.7109375" customWidth="1"/>
    <col min="3845" max="3845" width="13.85546875" customWidth="1"/>
    <col min="3846" max="3846" width="12" customWidth="1"/>
    <col min="3847" max="3848" width="13.5703125" customWidth="1"/>
    <col min="3849" max="3849" width="14.28515625" customWidth="1"/>
    <col min="3850" max="3850" width="15.140625" customWidth="1"/>
    <col min="3851" max="3851" width="17" customWidth="1"/>
    <col min="3852" max="3852" width="17.42578125" customWidth="1"/>
    <col min="4097" max="4097" width="75.7109375" customWidth="1"/>
    <col min="4098" max="4098" width="18.140625" customWidth="1"/>
    <col min="4099" max="4099" width="18" customWidth="1"/>
    <col min="4100" max="4100" width="13.7109375" customWidth="1"/>
    <col min="4101" max="4101" width="13.85546875" customWidth="1"/>
    <col min="4102" max="4102" width="12" customWidth="1"/>
    <col min="4103" max="4104" width="13.5703125" customWidth="1"/>
    <col min="4105" max="4105" width="14.28515625" customWidth="1"/>
    <col min="4106" max="4106" width="15.140625" customWidth="1"/>
    <col min="4107" max="4107" width="17" customWidth="1"/>
    <col min="4108" max="4108" width="17.42578125" customWidth="1"/>
    <col min="4353" max="4353" width="75.7109375" customWidth="1"/>
    <col min="4354" max="4354" width="18.140625" customWidth="1"/>
    <col min="4355" max="4355" width="18" customWidth="1"/>
    <col min="4356" max="4356" width="13.7109375" customWidth="1"/>
    <col min="4357" max="4357" width="13.85546875" customWidth="1"/>
    <col min="4358" max="4358" width="12" customWidth="1"/>
    <col min="4359" max="4360" width="13.5703125" customWidth="1"/>
    <col min="4361" max="4361" width="14.28515625" customWidth="1"/>
    <col min="4362" max="4362" width="15.140625" customWidth="1"/>
    <col min="4363" max="4363" width="17" customWidth="1"/>
    <col min="4364" max="4364" width="17.42578125" customWidth="1"/>
    <col min="4609" max="4609" width="75.7109375" customWidth="1"/>
    <col min="4610" max="4610" width="18.140625" customWidth="1"/>
    <col min="4611" max="4611" width="18" customWidth="1"/>
    <col min="4612" max="4612" width="13.7109375" customWidth="1"/>
    <col min="4613" max="4613" width="13.85546875" customWidth="1"/>
    <col min="4614" max="4614" width="12" customWidth="1"/>
    <col min="4615" max="4616" width="13.5703125" customWidth="1"/>
    <col min="4617" max="4617" width="14.28515625" customWidth="1"/>
    <col min="4618" max="4618" width="15.140625" customWidth="1"/>
    <col min="4619" max="4619" width="17" customWidth="1"/>
    <col min="4620" max="4620" width="17.42578125" customWidth="1"/>
    <col min="4865" max="4865" width="75.7109375" customWidth="1"/>
    <col min="4866" max="4866" width="18.140625" customWidth="1"/>
    <col min="4867" max="4867" width="18" customWidth="1"/>
    <col min="4868" max="4868" width="13.7109375" customWidth="1"/>
    <col min="4869" max="4869" width="13.85546875" customWidth="1"/>
    <col min="4870" max="4870" width="12" customWidth="1"/>
    <col min="4871" max="4872" width="13.5703125" customWidth="1"/>
    <col min="4873" max="4873" width="14.28515625" customWidth="1"/>
    <col min="4874" max="4874" width="15.140625" customWidth="1"/>
    <col min="4875" max="4875" width="17" customWidth="1"/>
    <col min="4876" max="4876" width="17.42578125" customWidth="1"/>
    <col min="5121" max="5121" width="75.7109375" customWidth="1"/>
    <col min="5122" max="5122" width="18.140625" customWidth="1"/>
    <col min="5123" max="5123" width="18" customWidth="1"/>
    <col min="5124" max="5124" width="13.7109375" customWidth="1"/>
    <col min="5125" max="5125" width="13.85546875" customWidth="1"/>
    <col min="5126" max="5126" width="12" customWidth="1"/>
    <col min="5127" max="5128" width="13.5703125" customWidth="1"/>
    <col min="5129" max="5129" width="14.28515625" customWidth="1"/>
    <col min="5130" max="5130" width="15.140625" customWidth="1"/>
    <col min="5131" max="5131" width="17" customWidth="1"/>
    <col min="5132" max="5132" width="17.42578125" customWidth="1"/>
    <col min="5377" max="5377" width="75.7109375" customWidth="1"/>
    <col min="5378" max="5378" width="18.140625" customWidth="1"/>
    <col min="5379" max="5379" width="18" customWidth="1"/>
    <col min="5380" max="5380" width="13.7109375" customWidth="1"/>
    <col min="5381" max="5381" width="13.85546875" customWidth="1"/>
    <col min="5382" max="5382" width="12" customWidth="1"/>
    <col min="5383" max="5384" width="13.5703125" customWidth="1"/>
    <col min="5385" max="5385" width="14.28515625" customWidth="1"/>
    <col min="5386" max="5386" width="15.140625" customWidth="1"/>
    <col min="5387" max="5387" width="17" customWidth="1"/>
    <col min="5388" max="5388" width="17.42578125" customWidth="1"/>
    <col min="5633" max="5633" width="75.7109375" customWidth="1"/>
    <col min="5634" max="5634" width="18.140625" customWidth="1"/>
    <col min="5635" max="5635" width="18" customWidth="1"/>
    <col min="5636" max="5636" width="13.7109375" customWidth="1"/>
    <col min="5637" max="5637" width="13.85546875" customWidth="1"/>
    <col min="5638" max="5638" width="12" customWidth="1"/>
    <col min="5639" max="5640" width="13.5703125" customWidth="1"/>
    <col min="5641" max="5641" width="14.28515625" customWidth="1"/>
    <col min="5642" max="5642" width="15.140625" customWidth="1"/>
    <col min="5643" max="5643" width="17" customWidth="1"/>
    <col min="5644" max="5644" width="17.42578125" customWidth="1"/>
    <col min="5889" max="5889" width="75.7109375" customWidth="1"/>
    <col min="5890" max="5890" width="18.140625" customWidth="1"/>
    <col min="5891" max="5891" width="18" customWidth="1"/>
    <col min="5892" max="5892" width="13.7109375" customWidth="1"/>
    <col min="5893" max="5893" width="13.85546875" customWidth="1"/>
    <col min="5894" max="5894" width="12" customWidth="1"/>
    <col min="5895" max="5896" width="13.5703125" customWidth="1"/>
    <col min="5897" max="5897" width="14.28515625" customWidth="1"/>
    <col min="5898" max="5898" width="15.140625" customWidth="1"/>
    <col min="5899" max="5899" width="17" customWidth="1"/>
    <col min="5900" max="5900" width="17.42578125" customWidth="1"/>
    <col min="6145" max="6145" width="75.7109375" customWidth="1"/>
    <col min="6146" max="6146" width="18.140625" customWidth="1"/>
    <col min="6147" max="6147" width="18" customWidth="1"/>
    <col min="6148" max="6148" width="13.7109375" customWidth="1"/>
    <col min="6149" max="6149" width="13.85546875" customWidth="1"/>
    <col min="6150" max="6150" width="12" customWidth="1"/>
    <col min="6151" max="6152" width="13.5703125" customWidth="1"/>
    <col min="6153" max="6153" width="14.28515625" customWidth="1"/>
    <col min="6154" max="6154" width="15.140625" customWidth="1"/>
    <col min="6155" max="6155" width="17" customWidth="1"/>
    <col min="6156" max="6156" width="17.42578125" customWidth="1"/>
    <col min="6401" max="6401" width="75.7109375" customWidth="1"/>
    <col min="6402" max="6402" width="18.140625" customWidth="1"/>
    <col min="6403" max="6403" width="18" customWidth="1"/>
    <col min="6404" max="6404" width="13.7109375" customWidth="1"/>
    <col min="6405" max="6405" width="13.85546875" customWidth="1"/>
    <col min="6406" max="6406" width="12" customWidth="1"/>
    <col min="6407" max="6408" width="13.5703125" customWidth="1"/>
    <col min="6409" max="6409" width="14.28515625" customWidth="1"/>
    <col min="6410" max="6410" width="15.140625" customWidth="1"/>
    <col min="6411" max="6411" width="17" customWidth="1"/>
    <col min="6412" max="6412" width="17.42578125" customWidth="1"/>
    <col min="6657" max="6657" width="75.7109375" customWidth="1"/>
    <col min="6658" max="6658" width="18.140625" customWidth="1"/>
    <col min="6659" max="6659" width="18" customWidth="1"/>
    <col min="6660" max="6660" width="13.7109375" customWidth="1"/>
    <col min="6661" max="6661" width="13.85546875" customWidth="1"/>
    <col min="6662" max="6662" width="12" customWidth="1"/>
    <col min="6663" max="6664" width="13.5703125" customWidth="1"/>
    <col min="6665" max="6665" width="14.28515625" customWidth="1"/>
    <col min="6666" max="6666" width="15.140625" customWidth="1"/>
    <col min="6667" max="6667" width="17" customWidth="1"/>
    <col min="6668" max="6668" width="17.42578125" customWidth="1"/>
    <col min="6913" max="6913" width="75.7109375" customWidth="1"/>
    <col min="6914" max="6914" width="18.140625" customWidth="1"/>
    <col min="6915" max="6915" width="18" customWidth="1"/>
    <col min="6916" max="6916" width="13.7109375" customWidth="1"/>
    <col min="6917" max="6917" width="13.85546875" customWidth="1"/>
    <col min="6918" max="6918" width="12" customWidth="1"/>
    <col min="6919" max="6920" width="13.5703125" customWidth="1"/>
    <col min="6921" max="6921" width="14.28515625" customWidth="1"/>
    <col min="6922" max="6922" width="15.140625" customWidth="1"/>
    <col min="6923" max="6923" width="17" customWidth="1"/>
    <col min="6924" max="6924" width="17.42578125" customWidth="1"/>
    <col min="7169" max="7169" width="75.7109375" customWidth="1"/>
    <col min="7170" max="7170" width="18.140625" customWidth="1"/>
    <col min="7171" max="7171" width="18" customWidth="1"/>
    <col min="7172" max="7172" width="13.7109375" customWidth="1"/>
    <col min="7173" max="7173" width="13.85546875" customWidth="1"/>
    <col min="7174" max="7174" width="12" customWidth="1"/>
    <col min="7175" max="7176" width="13.5703125" customWidth="1"/>
    <col min="7177" max="7177" width="14.28515625" customWidth="1"/>
    <col min="7178" max="7178" width="15.140625" customWidth="1"/>
    <col min="7179" max="7179" width="17" customWidth="1"/>
    <col min="7180" max="7180" width="17.42578125" customWidth="1"/>
    <col min="7425" max="7425" width="75.7109375" customWidth="1"/>
    <col min="7426" max="7426" width="18.140625" customWidth="1"/>
    <col min="7427" max="7427" width="18" customWidth="1"/>
    <col min="7428" max="7428" width="13.7109375" customWidth="1"/>
    <col min="7429" max="7429" width="13.85546875" customWidth="1"/>
    <col min="7430" max="7430" width="12" customWidth="1"/>
    <col min="7431" max="7432" width="13.5703125" customWidth="1"/>
    <col min="7433" max="7433" width="14.28515625" customWidth="1"/>
    <col min="7434" max="7434" width="15.140625" customWidth="1"/>
    <col min="7435" max="7435" width="17" customWidth="1"/>
    <col min="7436" max="7436" width="17.42578125" customWidth="1"/>
    <col min="7681" max="7681" width="75.7109375" customWidth="1"/>
    <col min="7682" max="7682" width="18.140625" customWidth="1"/>
    <col min="7683" max="7683" width="18" customWidth="1"/>
    <col min="7684" max="7684" width="13.7109375" customWidth="1"/>
    <col min="7685" max="7685" width="13.85546875" customWidth="1"/>
    <col min="7686" max="7686" width="12" customWidth="1"/>
    <col min="7687" max="7688" width="13.5703125" customWidth="1"/>
    <col min="7689" max="7689" width="14.28515625" customWidth="1"/>
    <col min="7690" max="7690" width="15.140625" customWidth="1"/>
    <col min="7691" max="7691" width="17" customWidth="1"/>
    <col min="7692" max="7692" width="17.42578125" customWidth="1"/>
    <col min="7937" max="7937" width="75.7109375" customWidth="1"/>
    <col min="7938" max="7938" width="18.140625" customWidth="1"/>
    <col min="7939" max="7939" width="18" customWidth="1"/>
    <col min="7940" max="7940" width="13.7109375" customWidth="1"/>
    <col min="7941" max="7941" width="13.85546875" customWidth="1"/>
    <col min="7942" max="7942" width="12" customWidth="1"/>
    <col min="7943" max="7944" width="13.5703125" customWidth="1"/>
    <col min="7945" max="7945" width="14.28515625" customWidth="1"/>
    <col min="7946" max="7946" width="15.140625" customWidth="1"/>
    <col min="7947" max="7947" width="17" customWidth="1"/>
    <col min="7948" max="7948" width="17.42578125" customWidth="1"/>
    <col min="8193" max="8193" width="75.7109375" customWidth="1"/>
    <col min="8194" max="8194" width="18.140625" customWidth="1"/>
    <col min="8195" max="8195" width="18" customWidth="1"/>
    <col min="8196" max="8196" width="13.7109375" customWidth="1"/>
    <col min="8197" max="8197" width="13.85546875" customWidth="1"/>
    <col min="8198" max="8198" width="12" customWidth="1"/>
    <col min="8199" max="8200" width="13.5703125" customWidth="1"/>
    <col min="8201" max="8201" width="14.28515625" customWidth="1"/>
    <col min="8202" max="8202" width="15.140625" customWidth="1"/>
    <col min="8203" max="8203" width="17" customWidth="1"/>
    <col min="8204" max="8204" width="17.42578125" customWidth="1"/>
    <col min="8449" max="8449" width="75.7109375" customWidth="1"/>
    <col min="8450" max="8450" width="18.140625" customWidth="1"/>
    <col min="8451" max="8451" width="18" customWidth="1"/>
    <col min="8452" max="8452" width="13.7109375" customWidth="1"/>
    <col min="8453" max="8453" width="13.85546875" customWidth="1"/>
    <col min="8454" max="8454" width="12" customWidth="1"/>
    <col min="8455" max="8456" width="13.5703125" customWidth="1"/>
    <col min="8457" max="8457" width="14.28515625" customWidth="1"/>
    <col min="8458" max="8458" width="15.140625" customWidth="1"/>
    <col min="8459" max="8459" width="17" customWidth="1"/>
    <col min="8460" max="8460" width="17.42578125" customWidth="1"/>
    <col min="8705" max="8705" width="75.7109375" customWidth="1"/>
    <col min="8706" max="8706" width="18.140625" customWidth="1"/>
    <col min="8707" max="8707" width="18" customWidth="1"/>
    <col min="8708" max="8708" width="13.7109375" customWidth="1"/>
    <col min="8709" max="8709" width="13.85546875" customWidth="1"/>
    <col min="8710" max="8710" width="12" customWidth="1"/>
    <col min="8711" max="8712" width="13.5703125" customWidth="1"/>
    <col min="8713" max="8713" width="14.28515625" customWidth="1"/>
    <col min="8714" max="8714" width="15.140625" customWidth="1"/>
    <col min="8715" max="8715" width="17" customWidth="1"/>
    <col min="8716" max="8716" width="17.42578125" customWidth="1"/>
    <col min="8961" max="8961" width="75.7109375" customWidth="1"/>
    <col min="8962" max="8962" width="18.140625" customWidth="1"/>
    <col min="8963" max="8963" width="18" customWidth="1"/>
    <col min="8964" max="8964" width="13.7109375" customWidth="1"/>
    <col min="8965" max="8965" width="13.85546875" customWidth="1"/>
    <col min="8966" max="8966" width="12" customWidth="1"/>
    <col min="8967" max="8968" width="13.5703125" customWidth="1"/>
    <col min="8969" max="8969" width="14.28515625" customWidth="1"/>
    <col min="8970" max="8970" width="15.140625" customWidth="1"/>
    <col min="8971" max="8971" width="17" customWidth="1"/>
    <col min="8972" max="8972" width="17.42578125" customWidth="1"/>
    <col min="9217" max="9217" width="75.7109375" customWidth="1"/>
    <col min="9218" max="9218" width="18.140625" customWidth="1"/>
    <col min="9219" max="9219" width="18" customWidth="1"/>
    <col min="9220" max="9220" width="13.7109375" customWidth="1"/>
    <col min="9221" max="9221" width="13.85546875" customWidth="1"/>
    <col min="9222" max="9222" width="12" customWidth="1"/>
    <col min="9223" max="9224" width="13.5703125" customWidth="1"/>
    <col min="9225" max="9225" width="14.28515625" customWidth="1"/>
    <col min="9226" max="9226" width="15.140625" customWidth="1"/>
    <col min="9227" max="9227" width="17" customWidth="1"/>
    <col min="9228" max="9228" width="17.42578125" customWidth="1"/>
    <col min="9473" max="9473" width="75.7109375" customWidth="1"/>
    <col min="9474" max="9474" width="18.140625" customWidth="1"/>
    <col min="9475" max="9475" width="18" customWidth="1"/>
    <col min="9476" max="9476" width="13.7109375" customWidth="1"/>
    <col min="9477" max="9477" width="13.85546875" customWidth="1"/>
    <col min="9478" max="9478" width="12" customWidth="1"/>
    <col min="9479" max="9480" width="13.5703125" customWidth="1"/>
    <col min="9481" max="9481" width="14.28515625" customWidth="1"/>
    <col min="9482" max="9482" width="15.140625" customWidth="1"/>
    <col min="9483" max="9483" width="17" customWidth="1"/>
    <col min="9484" max="9484" width="17.42578125" customWidth="1"/>
    <col min="9729" max="9729" width="75.7109375" customWidth="1"/>
    <col min="9730" max="9730" width="18.140625" customWidth="1"/>
    <col min="9731" max="9731" width="18" customWidth="1"/>
    <col min="9732" max="9732" width="13.7109375" customWidth="1"/>
    <col min="9733" max="9733" width="13.85546875" customWidth="1"/>
    <col min="9734" max="9734" width="12" customWidth="1"/>
    <col min="9735" max="9736" width="13.5703125" customWidth="1"/>
    <col min="9737" max="9737" width="14.28515625" customWidth="1"/>
    <col min="9738" max="9738" width="15.140625" customWidth="1"/>
    <col min="9739" max="9739" width="17" customWidth="1"/>
    <col min="9740" max="9740" width="17.42578125" customWidth="1"/>
    <col min="9985" max="9985" width="75.7109375" customWidth="1"/>
    <col min="9986" max="9986" width="18.140625" customWidth="1"/>
    <col min="9987" max="9987" width="18" customWidth="1"/>
    <col min="9988" max="9988" width="13.7109375" customWidth="1"/>
    <col min="9989" max="9989" width="13.85546875" customWidth="1"/>
    <col min="9990" max="9990" width="12" customWidth="1"/>
    <col min="9991" max="9992" width="13.5703125" customWidth="1"/>
    <col min="9993" max="9993" width="14.28515625" customWidth="1"/>
    <col min="9994" max="9994" width="15.140625" customWidth="1"/>
    <col min="9995" max="9995" width="17" customWidth="1"/>
    <col min="9996" max="9996" width="17.42578125" customWidth="1"/>
    <col min="10241" max="10241" width="75.7109375" customWidth="1"/>
    <col min="10242" max="10242" width="18.140625" customWidth="1"/>
    <col min="10243" max="10243" width="18" customWidth="1"/>
    <col min="10244" max="10244" width="13.7109375" customWidth="1"/>
    <col min="10245" max="10245" width="13.85546875" customWidth="1"/>
    <col min="10246" max="10246" width="12" customWidth="1"/>
    <col min="10247" max="10248" width="13.5703125" customWidth="1"/>
    <col min="10249" max="10249" width="14.28515625" customWidth="1"/>
    <col min="10250" max="10250" width="15.140625" customWidth="1"/>
    <col min="10251" max="10251" width="17" customWidth="1"/>
    <col min="10252" max="10252" width="17.42578125" customWidth="1"/>
    <col min="10497" max="10497" width="75.7109375" customWidth="1"/>
    <col min="10498" max="10498" width="18.140625" customWidth="1"/>
    <col min="10499" max="10499" width="18" customWidth="1"/>
    <col min="10500" max="10500" width="13.7109375" customWidth="1"/>
    <col min="10501" max="10501" width="13.85546875" customWidth="1"/>
    <col min="10502" max="10502" width="12" customWidth="1"/>
    <col min="10503" max="10504" width="13.5703125" customWidth="1"/>
    <col min="10505" max="10505" width="14.28515625" customWidth="1"/>
    <col min="10506" max="10506" width="15.140625" customWidth="1"/>
    <col min="10507" max="10507" width="17" customWidth="1"/>
    <col min="10508" max="10508" width="17.42578125" customWidth="1"/>
    <col min="10753" max="10753" width="75.7109375" customWidth="1"/>
    <col min="10754" max="10754" width="18.140625" customWidth="1"/>
    <col min="10755" max="10755" width="18" customWidth="1"/>
    <col min="10756" max="10756" width="13.7109375" customWidth="1"/>
    <col min="10757" max="10757" width="13.85546875" customWidth="1"/>
    <col min="10758" max="10758" width="12" customWidth="1"/>
    <col min="10759" max="10760" width="13.5703125" customWidth="1"/>
    <col min="10761" max="10761" width="14.28515625" customWidth="1"/>
    <col min="10762" max="10762" width="15.140625" customWidth="1"/>
    <col min="10763" max="10763" width="17" customWidth="1"/>
    <col min="10764" max="10764" width="17.42578125" customWidth="1"/>
    <col min="11009" max="11009" width="75.7109375" customWidth="1"/>
    <col min="11010" max="11010" width="18.140625" customWidth="1"/>
    <col min="11011" max="11011" width="18" customWidth="1"/>
    <col min="11012" max="11012" width="13.7109375" customWidth="1"/>
    <col min="11013" max="11013" width="13.85546875" customWidth="1"/>
    <col min="11014" max="11014" width="12" customWidth="1"/>
    <col min="11015" max="11016" width="13.5703125" customWidth="1"/>
    <col min="11017" max="11017" width="14.28515625" customWidth="1"/>
    <col min="11018" max="11018" width="15.140625" customWidth="1"/>
    <col min="11019" max="11019" width="17" customWidth="1"/>
    <col min="11020" max="11020" width="17.42578125" customWidth="1"/>
    <col min="11265" max="11265" width="75.7109375" customWidth="1"/>
    <col min="11266" max="11266" width="18.140625" customWidth="1"/>
    <col min="11267" max="11267" width="18" customWidth="1"/>
    <col min="11268" max="11268" width="13.7109375" customWidth="1"/>
    <col min="11269" max="11269" width="13.85546875" customWidth="1"/>
    <col min="11270" max="11270" width="12" customWidth="1"/>
    <col min="11271" max="11272" width="13.5703125" customWidth="1"/>
    <col min="11273" max="11273" width="14.28515625" customWidth="1"/>
    <col min="11274" max="11274" width="15.140625" customWidth="1"/>
    <col min="11275" max="11275" width="17" customWidth="1"/>
    <col min="11276" max="11276" width="17.42578125" customWidth="1"/>
    <col min="11521" max="11521" width="75.7109375" customWidth="1"/>
    <col min="11522" max="11522" width="18.140625" customWidth="1"/>
    <col min="11523" max="11523" width="18" customWidth="1"/>
    <col min="11524" max="11524" width="13.7109375" customWidth="1"/>
    <col min="11525" max="11525" width="13.85546875" customWidth="1"/>
    <col min="11526" max="11526" width="12" customWidth="1"/>
    <col min="11527" max="11528" width="13.5703125" customWidth="1"/>
    <col min="11529" max="11529" width="14.28515625" customWidth="1"/>
    <col min="11530" max="11530" width="15.140625" customWidth="1"/>
    <col min="11531" max="11531" width="17" customWidth="1"/>
    <col min="11532" max="11532" width="17.42578125" customWidth="1"/>
    <col min="11777" max="11777" width="75.7109375" customWidth="1"/>
    <col min="11778" max="11778" width="18.140625" customWidth="1"/>
    <col min="11779" max="11779" width="18" customWidth="1"/>
    <col min="11780" max="11780" width="13.7109375" customWidth="1"/>
    <col min="11781" max="11781" width="13.85546875" customWidth="1"/>
    <col min="11782" max="11782" width="12" customWidth="1"/>
    <col min="11783" max="11784" width="13.5703125" customWidth="1"/>
    <col min="11785" max="11785" width="14.28515625" customWidth="1"/>
    <col min="11786" max="11786" width="15.140625" customWidth="1"/>
    <col min="11787" max="11787" width="17" customWidth="1"/>
    <col min="11788" max="11788" width="17.42578125" customWidth="1"/>
    <col min="12033" max="12033" width="75.7109375" customWidth="1"/>
    <col min="12034" max="12034" width="18.140625" customWidth="1"/>
    <col min="12035" max="12035" width="18" customWidth="1"/>
    <col min="12036" max="12036" width="13.7109375" customWidth="1"/>
    <col min="12037" max="12037" width="13.85546875" customWidth="1"/>
    <col min="12038" max="12038" width="12" customWidth="1"/>
    <col min="12039" max="12040" width="13.5703125" customWidth="1"/>
    <col min="12041" max="12041" width="14.28515625" customWidth="1"/>
    <col min="12042" max="12042" width="15.140625" customWidth="1"/>
    <col min="12043" max="12043" width="17" customWidth="1"/>
    <col min="12044" max="12044" width="17.42578125" customWidth="1"/>
    <col min="12289" max="12289" width="75.7109375" customWidth="1"/>
    <col min="12290" max="12290" width="18.140625" customWidth="1"/>
    <col min="12291" max="12291" width="18" customWidth="1"/>
    <col min="12292" max="12292" width="13.7109375" customWidth="1"/>
    <col min="12293" max="12293" width="13.85546875" customWidth="1"/>
    <col min="12294" max="12294" width="12" customWidth="1"/>
    <col min="12295" max="12296" width="13.5703125" customWidth="1"/>
    <col min="12297" max="12297" width="14.28515625" customWidth="1"/>
    <col min="12298" max="12298" width="15.140625" customWidth="1"/>
    <col min="12299" max="12299" width="17" customWidth="1"/>
    <col min="12300" max="12300" width="17.42578125" customWidth="1"/>
    <col min="12545" max="12545" width="75.7109375" customWidth="1"/>
    <col min="12546" max="12546" width="18.140625" customWidth="1"/>
    <col min="12547" max="12547" width="18" customWidth="1"/>
    <col min="12548" max="12548" width="13.7109375" customWidth="1"/>
    <col min="12549" max="12549" width="13.85546875" customWidth="1"/>
    <col min="12550" max="12550" width="12" customWidth="1"/>
    <col min="12551" max="12552" width="13.5703125" customWidth="1"/>
    <col min="12553" max="12553" width="14.28515625" customWidth="1"/>
    <col min="12554" max="12554" width="15.140625" customWidth="1"/>
    <col min="12555" max="12555" width="17" customWidth="1"/>
    <col min="12556" max="12556" width="17.42578125" customWidth="1"/>
    <col min="12801" max="12801" width="75.7109375" customWidth="1"/>
    <col min="12802" max="12802" width="18.140625" customWidth="1"/>
    <col min="12803" max="12803" width="18" customWidth="1"/>
    <col min="12804" max="12804" width="13.7109375" customWidth="1"/>
    <col min="12805" max="12805" width="13.85546875" customWidth="1"/>
    <col min="12806" max="12806" width="12" customWidth="1"/>
    <col min="12807" max="12808" width="13.5703125" customWidth="1"/>
    <col min="12809" max="12809" width="14.28515625" customWidth="1"/>
    <col min="12810" max="12810" width="15.140625" customWidth="1"/>
    <col min="12811" max="12811" width="17" customWidth="1"/>
    <col min="12812" max="12812" width="17.42578125" customWidth="1"/>
    <col min="13057" max="13057" width="75.7109375" customWidth="1"/>
    <col min="13058" max="13058" width="18.140625" customWidth="1"/>
    <col min="13059" max="13059" width="18" customWidth="1"/>
    <col min="13060" max="13060" width="13.7109375" customWidth="1"/>
    <col min="13061" max="13061" width="13.85546875" customWidth="1"/>
    <col min="13062" max="13062" width="12" customWidth="1"/>
    <col min="13063" max="13064" width="13.5703125" customWidth="1"/>
    <col min="13065" max="13065" width="14.28515625" customWidth="1"/>
    <col min="13066" max="13066" width="15.140625" customWidth="1"/>
    <col min="13067" max="13067" width="17" customWidth="1"/>
    <col min="13068" max="13068" width="17.42578125" customWidth="1"/>
    <col min="13313" max="13313" width="75.7109375" customWidth="1"/>
    <col min="13314" max="13314" width="18.140625" customWidth="1"/>
    <col min="13315" max="13315" width="18" customWidth="1"/>
    <col min="13316" max="13316" width="13.7109375" customWidth="1"/>
    <col min="13317" max="13317" width="13.85546875" customWidth="1"/>
    <col min="13318" max="13318" width="12" customWidth="1"/>
    <col min="13319" max="13320" width="13.5703125" customWidth="1"/>
    <col min="13321" max="13321" width="14.28515625" customWidth="1"/>
    <col min="13322" max="13322" width="15.140625" customWidth="1"/>
    <col min="13323" max="13323" width="17" customWidth="1"/>
    <col min="13324" max="13324" width="17.42578125" customWidth="1"/>
    <col min="13569" max="13569" width="75.7109375" customWidth="1"/>
    <col min="13570" max="13570" width="18.140625" customWidth="1"/>
    <col min="13571" max="13571" width="18" customWidth="1"/>
    <col min="13572" max="13572" width="13.7109375" customWidth="1"/>
    <col min="13573" max="13573" width="13.85546875" customWidth="1"/>
    <col min="13574" max="13574" width="12" customWidth="1"/>
    <col min="13575" max="13576" width="13.5703125" customWidth="1"/>
    <col min="13577" max="13577" width="14.28515625" customWidth="1"/>
    <col min="13578" max="13578" width="15.140625" customWidth="1"/>
    <col min="13579" max="13579" width="17" customWidth="1"/>
    <col min="13580" max="13580" width="17.42578125" customWidth="1"/>
    <col min="13825" max="13825" width="75.7109375" customWidth="1"/>
    <col min="13826" max="13826" width="18.140625" customWidth="1"/>
    <col min="13827" max="13827" width="18" customWidth="1"/>
    <col min="13828" max="13828" width="13.7109375" customWidth="1"/>
    <col min="13829" max="13829" width="13.85546875" customWidth="1"/>
    <col min="13830" max="13830" width="12" customWidth="1"/>
    <col min="13831" max="13832" width="13.5703125" customWidth="1"/>
    <col min="13833" max="13833" width="14.28515625" customWidth="1"/>
    <col min="13834" max="13834" width="15.140625" customWidth="1"/>
    <col min="13835" max="13835" width="17" customWidth="1"/>
    <col min="13836" max="13836" width="17.42578125" customWidth="1"/>
    <col min="14081" max="14081" width="75.7109375" customWidth="1"/>
    <col min="14082" max="14082" width="18.140625" customWidth="1"/>
    <col min="14083" max="14083" width="18" customWidth="1"/>
    <col min="14084" max="14084" width="13.7109375" customWidth="1"/>
    <col min="14085" max="14085" width="13.85546875" customWidth="1"/>
    <col min="14086" max="14086" width="12" customWidth="1"/>
    <col min="14087" max="14088" width="13.5703125" customWidth="1"/>
    <col min="14089" max="14089" width="14.28515625" customWidth="1"/>
    <col min="14090" max="14090" width="15.140625" customWidth="1"/>
    <col min="14091" max="14091" width="17" customWidth="1"/>
    <col min="14092" max="14092" width="17.42578125" customWidth="1"/>
    <col min="14337" max="14337" width="75.7109375" customWidth="1"/>
    <col min="14338" max="14338" width="18.140625" customWidth="1"/>
    <col min="14339" max="14339" width="18" customWidth="1"/>
    <col min="14340" max="14340" width="13.7109375" customWidth="1"/>
    <col min="14341" max="14341" width="13.85546875" customWidth="1"/>
    <col min="14342" max="14342" width="12" customWidth="1"/>
    <col min="14343" max="14344" width="13.5703125" customWidth="1"/>
    <col min="14345" max="14345" width="14.28515625" customWidth="1"/>
    <col min="14346" max="14346" width="15.140625" customWidth="1"/>
    <col min="14347" max="14347" width="17" customWidth="1"/>
    <col min="14348" max="14348" width="17.42578125" customWidth="1"/>
    <col min="14593" max="14593" width="75.7109375" customWidth="1"/>
    <col min="14594" max="14594" width="18.140625" customWidth="1"/>
    <col min="14595" max="14595" width="18" customWidth="1"/>
    <col min="14596" max="14596" width="13.7109375" customWidth="1"/>
    <col min="14597" max="14597" width="13.85546875" customWidth="1"/>
    <col min="14598" max="14598" width="12" customWidth="1"/>
    <col min="14599" max="14600" width="13.5703125" customWidth="1"/>
    <col min="14601" max="14601" width="14.28515625" customWidth="1"/>
    <col min="14602" max="14602" width="15.140625" customWidth="1"/>
    <col min="14603" max="14603" width="17" customWidth="1"/>
    <col min="14604" max="14604" width="17.42578125" customWidth="1"/>
    <col min="14849" max="14849" width="75.7109375" customWidth="1"/>
    <col min="14850" max="14850" width="18.140625" customWidth="1"/>
    <col min="14851" max="14851" width="18" customWidth="1"/>
    <col min="14852" max="14852" width="13.7109375" customWidth="1"/>
    <col min="14853" max="14853" width="13.85546875" customWidth="1"/>
    <col min="14854" max="14854" width="12" customWidth="1"/>
    <col min="14855" max="14856" width="13.5703125" customWidth="1"/>
    <col min="14857" max="14857" width="14.28515625" customWidth="1"/>
    <col min="14858" max="14858" width="15.140625" customWidth="1"/>
    <col min="14859" max="14859" width="17" customWidth="1"/>
    <col min="14860" max="14860" width="17.42578125" customWidth="1"/>
    <col min="15105" max="15105" width="75.7109375" customWidth="1"/>
    <col min="15106" max="15106" width="18.140625" customWidth="1"/>
    <col min="15107" max="15107" width="18" customWidth="1"/>
    <col min="15108" max="15108" width="13.7109375" customWidth="1"/>
    <col min="15109" max="15109" width="13.85546875" customWidth="1"/>
    <col min="15110" max="15110" width="12" customWidth="1"/>
    <col min="15111" max="15112" width="13.5703125" customWidth="1"/>
    <col min="15113" max="15113" width="14.28515625" customWidth="1"/>
    <col min="15114" max="15114" width="15.140625" customWidth="1"/>
    <col min="15115" max="15115" width="17" customWidth="1"/>
    <col min="15116" max="15116" width="17.42578125" customWidth="1"/>
    <col min="15361" max="15361" width="75.7109375" customWidth="1"/>
    <col min="15362" max="15362" width="18.140625" customWidth="1"/>
    <col min="15363" max="15363" width="18" customWidth="1"/>
    <col min="15364" max="15364" width="13.7109375" customWidth="1"/>
    <col min="15365" max="15365" width="13.85546875" customWidth="1"/>
    <col min="15366" max="15366" width="12" customWidth="1"/>
    <col min="15367" max="15368" width="13.5703125" customWidth="1"/>
    <col min="15369" max="15369" width="14.28515625" customWidth="1"/>
    <col min="15370" max="15370" width="15.140625" customWidth="1"/>
    <col min="15371" max="15371" width="17" customWidth="1"/>
    <col min="15372" max="15372" width="17.42578125" customWidth="1"/>
    <col min="15617" max="15617" width="75.7109375" customWidth="1"/>
    <col min="15618" max="15618" width="18.140625" customWidth="1"/>
    <col min="15619" max="15619" width="18" customWidth="1"/>
    <col min="15620" max="15620" width="13.7109375" customWidth="1"/>
    <col min="15621" max="15621" width="13.85546875" customWidth="1"/>
    <col min="15622" max="15622" width="12" customWidth="1"/>
    <col min="15623" max="15624" width="13.5703125" customWidth="1"/>
    <col min="15625" max="15625" width="14.28515625" customWidth="1"/>
    <col min="15626" max="15626" width="15.140625" customWidth="1"/>
    <col min="15627" max="15627" width="17" customWidth="1"/>
    <col min="15628" max="15628" width="17.42578125" customWidth="1"/>
    <col min="15873" max="15873" width="75.7109375" customWidth="1"/>
    <col min="15874" max="15874" width="18.140625" customWidth="1"/>
    <col min="15875" max="15875" width="18" customWidth="1"/>
    <col min="15876" max="15876" width="13.7109375" customWidth="1"/>
    <col min="15877" max="15877" width="13.85546875" customWidth="1"/>
    <col min="15878" max="15878" width="12" customWidth="1"/>
    <col min="15879" max="15880" width="13.5703125" customWidth="1"/>
    <col min="15881" max="15881" width="14.28515625" customWidth="1"/>
    <col min="15882" max="15882" width="15.140625" customWidth="1"/>
    <col min="15883" max="15883" width="17" customWidth="1"/>
    <col min="15884" max="15884" width="17.42578125" customWidth="1"/>
    <col min="16129" max="16129" width="75.7109375" customWidth="1"/>
    <col min="16130" max="16130" width="18.140625" customWidth="1"/>
    <col min="16131" max="16131" width="18" customWidth="1"/>
    <col min="16132" max="16132" width="13.7109375" customWidth="1"/>
    <col min="16133" max="16133" width="13.85546875" customWidth="1"/>
    <col min="16134" max="16134" width="12" customWidth="1"/>
    <col min="16135" max="16136" width="13.5703125" customWidth="1"/>
    <col min="16137" max="16137" width="14.28515625" customWidth="1"/>
    <col min="16138" max="16138" width="15.140625" customWidth="1"/>
    <col min="16139" max="16139" width="17" customWidth="1"/>
    <col min="16140" max="16140" width="17.42578125" customWidth="1"/>
  </cols>
  <sheetData>
    <row r="1" spans="1:12" ht="18" x14ac:dyDescent="0.25">
      <c r="A1" s="1" t="s">
        <v>378</v>
      </c>
    </row>
    <row r="2" spans="1:12" x14ac:dyDescent="0.25">
      <c r="A2" s="2" t="s">
        <v>0</v>
      </c>
    </row>
    <row r="4" spans="1:12" ht="68.25" thickBot="1" x14ac:dyDescent="0.3">
      <c r="A4" s="3" t="s">
        <v>1</v>
      </c>
      <c r="B4" s="4"/>
      <c r="C4" s="4"/>
      <c r="D4" s="5" t="s">
        <v>2</v>
      </c>
      <c r="E4" s="5" t="s">
        <v>3</v>
      </c>
      <c r="F4" s="5" t="s">
        <v>4</v>
      </c>
      <c r="G4" s="6" t="s">
        <v>5</v>
      </c>
      <c r="H4" s="6" t="s">
        <v>6</v>
      </c>
      <c r="I4" s="5" t="s">
        <v>7</v>
      </c>
      <c r="J4" s="7"/>
      <c r="K4" s="4"/>
      <c r="L4" s="8"/>
    </row>
    <row r="5" spans="1:12" x14ac:dyDescent="0.25">
      <c r="A5" s="9"/>
      <c r="B5" s="10" t="s">
        <v>8</v>
      </c>
      <c r="C5" s="10" t="s">
        <v>9</v>
      </c>
      <c r="D5" s="11"/>
      <c r="E5" s="11"/>
      <c r="F5" s="11"/>
      <c r="G5" s="11"/>
      <c r="H5" s="11"/>
      <c r="I5" s="11"/>
      <c r="J5" s="12" t="s">
        <v>10</v>
      </c>
      <c r="K5" s="10" t="s">
        <v>11</v>
      </c>
      <c r="L5" s="13" t="s">
        <v>12</v>
      </c>
    </row>
    <row r="6" spans="1:12" x14ac:dyDescent="0.25">
      <c r="A6" s="9"/>
      <c r="B6" s="14" t="s">
        <v>13</v>
      </c>
      <c r="C6" s="14" t="s">
        <v>14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5">
        <v>6</v>
      </c>
      <c r="J6" s="16" t="s">
        <v>15</v>
      </c>
      <c r="K6" s="14" t="s">
        <v>16</v>
      </c>
      <c r="L6" s="17" t="s">
        <v>17</v>
      </c>
    </row>
    <row r="7" spans="1:12" ht="15.75" thickBot="1" x14ac:dyDescent="0.3">
      <c r="A7" s="9"/>
      <c r="B7" s="14"/>
      <c r="C7" s="14"/>
      <c r="D7" s="15"/>
      <c r="E7" s="18"/>
      <c r="F7" s="18"/>
      <c r="G7" s="18"/>
      <c r="H7" s="18"/>
      <c r="I7" s="18"/>
      <c r="J7" s="16">
        <v>2016</v>
      </c>
      <c r="K7" s="14" t="s">
        <v>18</v>
      </c>
      <c r="L7" s="17">
        <v>2016</v>
      </c>
    </row>
    <row r="8" spans="1:12" x14ac:dyDescent="0.25">
      <c r="A8" s="19" t="s">
        <v>19</v>
      </c>
      <c r="B8" s="20"/>
      <c r="C8" s="20"/>
      <c r="D8" s="21"/>
      <c r="E8" s="22"/>
      <c r="F8" s="22"/>
      <c r="G8" s="22"/>
      <c r="H8" s="22"/>
      <c r="I8" s="22"/>
      <c r="J8" s="23"/>
      <c r="K8" s="20"/>
      <c r="L8" s="24"/>
    </row>
    <row r="9" spans="1:12" x14ac:dyDescent="0.25">
      <c r="A9" s="25" t="s">
        <v>20</v>
      </c>
      <c r="B9" s="560">
        <v>757883237</v>
      </c>
      <c r="C9" s="560">
        <v>757883237</v>
      </c>
      <c r="D9" s="561">
        <v>12515884</v>
      </c>
      <c r="E9" s="561">
        <v>3720641</v>
      </c>
      <c r="F9" s="561">
        <v>924413</v>
      </c>
      <c r="G9" s="561">
        <v>10000000</v>
      </c>
      <c r="H9" s="561"/>
      <c r="I9" s="561">
        <v>-6250194</v>
      </c>
      <c r="J9" s="562">
        <v>20910744</v>
      </c>
      <c r="K9" s="560">
        <v>20910744</v>
      </c>
      <c r="L9" s="563">
        <v>778793981</v>
      </c>
    </row>
    <row r="10" spans="1:12" x14ac:dyDescent="0.25">
      <c r="A10" s="25" t="s">
        <v>21</v>
      </c>
      <c r="B10" s="560"/>
      <c r="C10" s="560"/>
      <c r="D10" s="561"/>
      <c r="E10" s="561"/>
      <c r="F10" s="561"/>
      <c r="G10" s="561"/>
      <c r="H10" s="561"/>
      <c r="I10" s="561"/>
      <c r="J10" s="562"/>
      <c r="K10" s="560"/>
      <c r="L10" s="563"/>
    </row>
    <row r="11" spans="1:12" x14ac:dyDescent="0.25">
      <c r="A11" s="26" t="s">
        <v>22</v>
      </c>
      <c r="B11" s="564">
        <v>757883237</v>
      </c>
      <c r="C11" s="565">
        <v>757883237</v>
      </c>
      <c r="D11" s="566">
        <v>12515884</v>
      </c>
      <c r="E11" s="566">
        <v>3720641</v>
      </c>
      <c r="F11" s="566">
        <v>924413</v>
      </c>
      <c r="G11" s="566">
        <v>10000000</v>
      </c>
      <c r="H11" s="566"/>
      <c r="I11" s="566">
        <v>-6250194</v>
      </c>
      <c r="J11" s="567">
        <v>20910744</v>
      </c>
      <c r="K11" s="565">
        <v>20910744</v>
      </c>
      <c r="L11" s="568">
        <v>778793981</v>
      </c>
    </row>
    <row r="12" spans="1:12" x14ac:dyDescent="0.25">
      <c r="A12" s="26" t="s">
        <v>23</v>
      </c>
      <c r="B12" s="564">
        <v>24566687</v>
      </c>
      <c r="C12" s="565">
        <v>24566687</v>
      </c>
      <c r="D12" s="566"/>
      <c r="E12" s="566"/>
      <c r="F12" s="566"/>
      <c r="G12" s="566"/>
      <c r="H12" s="566"/>
      <c r="I12" s="566">
        <v>-10792000</v>
      </c>
      <c r="J12" s="567">
        <v>-10792000</v>
      </c>
      <c r="K12" s="565">
        <v>-10792000</v>
      </c>
      <c r="L12" s="568">
        <v>13774687</v>
      </c>
    </row>
    <row r="13" spans="1:12" x14ac:dyDescent="0.25">
      <c r="A13" s="26" t="s">
        <v>24</v>
      </c>
      <c r="B13" s="564">
        <v>14114500</v>
      </c>
      <c r="C13" s="565">
        <v>14114500</v>
      </c>
      <c r="D13" s="566"/>
      <c r="E13" s="566"/>
      <c r="F13" s="566"/>
      <c r="G13" s="566"/>
      <c r="H13" s="566"/>
      <c r="I13" s="566">
        <v>-5644500</v>
      </c>
      <c r="J13" s="567">
        <v>-5644500</v>
      </c>
      <c r="K13" s="565">
        <v>-5644500</v>
      </c>
      <c r="L13" s="568">
        <v>8470000</v>
      </c>
    </row>
    <row r="14" spans="1:12" x14ac:dyDescent="0.25">
      <c r="A14" s="26" t="s">
        <v>25</v>
      </c>
      <c r="B14" s="564">
        <v>594160484</v>
      </c>
      <c r="C14" s="565">
        <v>594160484</v>
      </c>
      <c r="D14" s="566">
        <v>12515884</v>
      </c>
      <c r="E14" s="566">
        <v>3720641</v>
      </c>
      <c r="F14" s="566">
        <v>815962</v>
      </c>
      <c r="G14" s="569"/>
      <c r="H14" s="569"/>
      <c r="I14" s="566">
        <v>-13811130</v>
      </c>
      <c r="J14" s="567">
        <v>3241357</v>
      </c>
      <c r="K14" s="565">
        <v>3241357</v>
      </c>
      <c r="L14" s="568">
        <v>597401841</v>
      </c>
    </row>
    <row r="15" spans="1:12" x14ac:dyDescent="0.25">
      <c r="A15" s="26" t="s">
        <v>26</v>
      </c>
      <c r="B15" s="564">
        <v>108148000</v>
      </c>
      <c r="C15" s="565">
        <v>108148000</v>
      </c>
      <c r="D15" s="566"/>
      <c r="E15" s="566"/>
      <c r="F15" s="566">
        <v>71738</v>
      </c>
      <c r="G15" s="566">
        <v>10000000</v>
      </c>
      <c r="H15" s="566"/>
      <c r="I15" s="566">
        <v>-3731901</v>
      </c>
      <c r="J15" s="567">
        <v>6339837</v>
      </c>
      <c r="K15" s="565">
        <v>6339837</v>
      </c>
      <c r="L15" s="568">
        <v>114487837</v>
      </c>
    </row>
    <row r="16" spans="1:12" x14ac:dyDescent="0.25">
      <c r="A16" s="26" t="s">
        <v>27</v>
      </c>
      <c r="B16" s="564">
        <v>13979681</v>
      </c>
      <c r="C16" s="565">
        <v>13979681</v>
      </c>
      <c r="D16" s="566"/>
      <c r="E16" s="566"/>
      <c r="F16" s="566">
        <v>36043</v>
      </c>
      <c r="G16" s="566"/>
      <c r="H16" s="566"/>
      <c r="I16" s="566">
        <v>10147065</v>
      </c>
      <c r="J16" s="567">
        <v>10183108</v>
      </c>
      <c r="K16" s="565">
        <v>10183108</v>
      </c>
      <c r="L16" s="568">
        <v>24162789</v>
      </c>
    </row>
    <row r="17" spans="1:12" x14ac:dyDescent="0.25">
      <c r="A17" s="27" t="s">
        <v>28</v>
      </c>
      <c r="B17" s="564">
        <v>2913885</v>
      </c>
      <c r="C17" s="565">
        <v>2913885</v>
      </c>
      <c r="D17" s="566"/>
      <c r="E17" s="566"/>
      <c r="F17" s="566">
        <v>670</v>
      </c>
      <c r="G17" s="566"/>
      <c r="H17" s="566"/>
      <c r="I17" s="566">
        <v>17582272</v>
      </c>
      <c r="J17" s="567">
        <v>17582942</v>
      </c>
      <c r="K17" s="565">
        <v>17582942</v>
      </c>
      <c r="L17" s="568">
        <v>20496827</v>
      </c>
    </row>
    <row r="18" spans="1:12" x14ac:dyDescent="0.25">
      <c r="A18" s="28" t="s">
        <v>29</v>
      </c>
      <c r="B18" s="560"/>
      <c r="C18" s="565"/>
      <c r="D18" s="570"/>
      <c r="E18" s="570"/>
      <c r="F18" s="570"/>
      <c r="G18" s="570"/>
      <c r="H18" s="570"/>
      <c r="I18" s="570"/>
      <c r="J18" s="567"/>
      <c r="K18" s="565"/>
      <c r="L18" s="568"/>
    </row>
    <row r="19" spans="1:12" x14ac:dyDescent="0.25">
      <c r="A19" s="26" t="s">
        <v>30</v>
      </c>
      <c r="B19" s="564">
        <v>35579012</v>
      </c>
      <c r="C19" s="565">
        <v>35579012</v>
      </c>
      <c r="D19" s="566"/>
      <c r="E19" s="566"/>
      <c r="F19" s="566"/>
      <c r="G19" s="566"/>
      <c r="H19" s="566"/>
      <c r="I19" s="566">
        <v>-4875325</v>
      </c>
      <c r="J19" s="567">
        <v>-4875325</v>
      </c>
      <c r="K19" s="565">
        <v>-4875325</v>
      </c>
      <c r="L19" s="568">
        <v>30703687</v>
      </c>
    </row>
    <row r="20" spans="1:12" x14ac:dyDescent="0.25">
      <c r="A20" s="26" t="s">
        <v>31</v>
      </c>
      <c r="B20" s="564">
        <v>250952297</v>
      </c>
      <c r="C20" s="565">
        <v>250952297</v>
      </c>
      <c r="D20" s="566">
        <v>9290079</v>
      </c>
      <c r="E20" s="566"/>
      <c r="F20" s="566"/>
      <c r="G20" s="566"/>
      <c r="H20" s="566">
        <v>-1350000</v>
      </c>
      <c r="I20" s="566">
        <v>-1615608</v>
      </c>
      <c r="J20" s="567">
        <v>6324471</v>
      </c>
      <c r="K20" s="565">
        <v>6324471</v>
      </c>
      <c r="L20" s="568">
        <v>257276768</v>
      </c>
    </row>
    <row r="21" spans="1:12" x14ac:dyDescent="0.25">
      <c r="A21" s="26" t="s">
        <v>32</v>
      </c>
      <c r="B21" s="564">
        <v>174883727</v>
      </c>
      <c r="C21" s="565">
        <v>174883727</v>
      </c>
      <c r="D21" s="566">
        <v>6014616</v>
      </c>
      <c r="E21" s="566"/>
      <c r="F21" s="566"/>
      <c r="G21" s="566"/>
      <c r="H21" s="566">
        <v>5650000</v>
      </c>
      <c r="I21" s="566">
        <v>-1665608</v>
      </c>
      <c r="J21" s="567">
        <v>9999008</v>
      </c>
      <c r="K21" s="565">
        <v>9999008</v>
      </c>
      <c r="L21" s="568">
        <v>184882735</v>
      </c>
    </row>
    <row r="22" spans="1:12" x14ac:dyDescent="0.25">
      <c r="A22" s="26" t="s">
        <v>33</v>
      </c>
      <c r="B22" s="564">
        <v>76068570</v>
      </c>
      <c r="C22" s="565">
        <v>76068570</v>
      </c>
      <c r="D22" s="566">
        <v>3275463</v>
      </c>
      <c r="E22" s="566"/>
      <c r="F22" s="566"/>
      <c r="G22" s="566"/>
      <c r="H22" s="566">
        <v>-7000000</v>
      </c>
      <c r="I22" s="566">
        <v>50000</v>
      </c>
      <c r="J22" s="567">
        <v>-3674537</v>
      </c>
      <c r="K22" s="565">
        <v>-3674537</v>
      </c>
      <c r="L22" s="568">
        <v>72394033</v>
      </c>
    </row>
    <row r="23" spans="1:12" x14ac:dyDescent="0.25">
      <c r="A23" s="26" t="s">
        <v>34</v>
      </c>
      <c r="B23" s="564">
        <v>77167211</v>
      </c>
      <c r="C23" s="565">
        <v>77167211</v>
      </c>
      <c r="D23" s="566">
        <v>3165659</v>
      </c>
      <c r="E23" s="566"/>
      <c r="F23" s="566"/>
      <c r="G23" s="566"/>
      <c r="H23" s="566">
        <v>-459000</v>
      </c>
      <c r="I23" s="566">
        <v>86784</v>
      </c>
      <c r="J23" s="567">
        <v>2793443</v>
      </c>
      <c r="K23" s="565">
        <v>2793443</v>
      </c>
      <c r="L23" s="568">
        <v>79960654</v>
      </c>
    </row>
    <row r="24" spans="1:12" x14ac:dyDescent="0.25">
      <c r="A24" s="26" t="s">
        <v>35</v>
      </c>
      <c r="B24" s="564">
        <v>1799699</v>
      </c>
      <c r="C24" s="565">
        <v>1799699</v>
      </c>
      <c r="D24" s="566">
        <v>60146</v>
      </c>
      <c r="E24" s="566"/>
      <c r="F24" s="566">
        <v>924413</v>
      </c>
      <c r="G24" s="566"/>
      <c r="H24" s="566">
        <v>56500</v>
      </c>
      <c r="I24" s="566">
        <v>-175501</v>
      </c>
      <c r="J24" s="567">
        <v>865558</v>
      </c>
      <c r="K24" s="565">
        <v>865558</v>
      </c>
      <c r="L24" s="568">
        <v>2665257</v>
      </c>
    </row>
    <row r="25" spans="1:12" x14ac:dyDescent="0.25">
      <c r="A25" s="26" t="s">
        <v>36</v>
      </c>
      <c r="B25" s="564">
        <v>343961230</v>
      </c>
      <c r="C25" s="565">
        <v>343961230</v>
      </c>
      <c r="D25" s="566"/>
      <c r="E25" s="566">
        <v>3720641</v>
      </c>
      <c r="F25" s="566"/>
      <c r="G25" s="566">
        <v>10000000</v>
      </c>
      <c r="H25" s="566">
        <v>1752500</v>
      </c>
      <c r="I25" s="566">
        <v>1897810</v>
      </c>
      <c r="J25" s="567">
        <v>17370951</v>
      </c>
      <c r="K25" s="565">
        <v>17370951</v>
      </c>
      <c r="L25" s="568">
        <v>361332181</v>
      </c>
    </row>
    <row r="26" spans="1:12" x14ac:dyDescent="0.25">
      <c r="A26" s="26" t="s">
        <v>37</v>
      </c>
      <c r="B26" s="578">
        <v>582</v>
      </c>
      <c r="C26" s="580">
        <v>582</v>
      </c>
      <c r="D26" s="582"/>
      <c r="E26" s="582"/>
      <c r="F26" s="582"/>
      <c r="G26" s="582">
        <v>29</v>
      </c>
      <c r="H26" s="582"/>
      <c r="I26" s="582">
        <v>-3</v>
      </c>
      <c r="J26" s="585">
        <v>26</v>
      </c>
      <c r="K26" s="580">
        <v>26</v>
      </c>
      <c r="L26" s="581">
        <v>608</v>
      </c>
    </row>
    <row r="27" spans="1:12" x14ac:dyDescent="0.25">
      <c r="A27" s="26" t="s">
        <v>38</v>
      </c>
      <c r="B27" s="564">
        <v>152000</v>
      </c>
      <c r="C27" s="565">
        <v>152000</v>
      </c>
      <c r="D27" s="566"/>
      <c r="E27" s="566"/>
      <c r="F27" s="566"/>
      <c r="G27" s="566"/>
      <c r="H27" s="566"/>
      <c r="I27" s="566">
        <v>16000</v>
      </c>
      <c r="J27" s="567">
        <v>16000</v>
      </c>
      <c r="K27" s="565">
        <v>16000</v>
      </c>
      <c r="L27" s="568">
        <v>168000</v>
      </c>
    </row>
    <row r="28" spans="1:12" x14ac:dyDescent="0.25">
      <c r="A28" s="26" t="s">
        <v>39</v>
      </c>
      <c r="B28" s="564">
        <v>46560</v>
      </c>
      <c r="C28" s="565">
        <v>46560</v>
      </c>
      <c r="D28" s="566"/>
      <c r="E28" s="566"/>
      <c r="F28" s="566"/>
      <c r="G28" s="566"/>
      <c r="H28" s="566"/>
      <c r="I28" s="566">
        <v>1953440</v>
      </c>
      <c r="J28" s="567">
        <v>1953440</v>
      </c>
      <c r="K28" s="565">
        <v>1953440</v>
      </c>
      <c r="L28" s="568">
        <v>2000000</v>
      </c>
    </row>
    <row r="29" spans="1:12" x14ac:dyDescent="0.25">
      <c r="A29" s="26" t="s">
        <v>40</v>
      </c>
      <c r="B29" s="564">
        <v>48377228</v>
      </c>
      <c r="C29" s="565">
        <v>48377228</v>
      </c>
      <c r="D29" s="566"/>
      <c r="E29" s="566"/>
      <c r="F29" s="566"/>
      <c r="G29" s="566"/>
      <c r="H29" s="566"/>
      <c r="I29" s="566">
        <v>-3521794</v>
      </c>
      <c r="J29" s="567">
        <v>-3521794</v>
      </c>
      <c r="K29" s="565">
        <v>-3521794</v>
      </c>
      <c r="L29" s="568">
        <v>44855434</v>
      </c>
    </row>
  </sheetData>
  <printOptions horizontalCentered="1"/>
  <pageMargins left="0.70866141732283472" right="0.70866141732283472" top="0.78740157480314965" bottom="0.78740157480314965" header="0.51181102362204722" footer="0.31496062992125984"/>
  <pageSetup paperSize="9" scale="54" orientation="landscape" r:id="rId1"/>
  <headerFooter alignWithMargins="0">
    <oddHeader>&amp;RKapitola C.VI
&amp;"-,Tučné"Tabulka č.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tabSelected="1" topLeftCell="A73" workbookViewId="0">
      <selection activeCell="N71" sqref="N71"/>
    </sheetView>
  </sheetViews>
  <sheetFormatPr defaultRowHeight="12.75" x14ac:dyDescent="0.2"/>
  <cols>
    <col min="1" max="1" width="2" style="29" customWidth="1"/>
    <col min="2" max="2" width="63.140625" style="29" customWidth="1"/>
    <col min="3" max="3" width="15" style="29" customWidth="1"/>
    <col min="4" max="4" width="14.5703125" style="29" customWidth="1"/>
    <col min="5" max="5" width="14.7109375" style="29" customWidth="1"/>
    <col min="6" max="7" width="13.5703125" style="29" customWidth="1"/>
    <col min="8" max="8" width="12.28515625" style="29" customWidth="1"/>
    <col min="9" max="9" width="14.28515625" style="29" customWidth="1"/>
    <col min="10" max="10" width="8.5703125" style="29" customWidth="1"/>
    <col min="11" max="11" width="21" style="29" customWidth="1"/>
    <col min="12" max="12" width="9.140625" style="29"/>
    <col min="13" max="13" width="12.42578125" style="29" bestFit="1" customWidth="1"/>
    <col min="14" max="14" width="10.140625" style="29" bestFit="1" customWidth="1"/>
    <col min="15" max="256" width="9.140625" style="29"/>
    <col min="257" max="257" width="2" style="29" customWidth="1"/>
    <col min="258" max="258" width="57.85546875" style="29" customWidth="1"/>
    <col min="259" max="259" width="15" style="29" customWidth="1"/>
    <col min="260" max="260" width="14.5703125" style="29" customWidth="1"/>
    <col min="261" max="261" width="14.7109375" style="29" customWidth="1"/>
    <col min="262" max="263" width="13.5703125" style="29" customWidth="1"/>
    <col min="264" max="264" width="12.28515625" style="29" customWidth="1"/>
    <col min="265" max="265" width="14.28515625" style="29" customWidth="1"/>
    <col min="266" max="266" width="8.5703125" style="29" customWidth="1"/>
    <col min="267" max="267" width="18.5703125" style="29" customWidth="1"/>
    <col min="268" max="268" width="9.140625" style="29"/>
    <col min="269" max="269" width="12.42578125" style="29" bestFit="1" customWidth="1"/>
    <col min="270" max="512" width="9.140625" style="29"/>
    <col min="513" max="513" width="2" style="29" customWidth="1"/>
    <col min="514" max="514" width="57.85546875" style="29" customWidth="1"/>
    <col min="515" max="515" width="15" style="29" customWidth="1"/>
    <col min="516" max="516" width="14.5703125" style="29" customWidth="1"/>
    <col min="517" max="517" width="14.7109375" style="29" customWidth="1"/>
    <col min="518" max="519" width="13.5703125" style="29" customWidth="1"/>
    <col min="520" max="520" width="12.28515625" style="29" customWidth="1"/>
    <col min="521" max="521" width="14.28515625" style="29" customWidth="1"/>
    <col min="522" max="522" width="8.5703125" style="29" customWidth="1"/>
    <col min="523" max="523" width="18.5703125" style="29" customWidth="1"/>
    <col min="524" max="524" width="9.140625" style="29"/>
    <col min="525" max="525" width="12.42578125" style="29" bestFit="1" customWidth="1"/>
    <col min="526" max="768" width="9.140625" style="29"/>
    <col min="769" max="769" width="2" style="29" customWidth="1"/>
    <col min="770" max="770" width="57.85546875" style="29" customWidth="1"/>
    <col min="771" max="771" width="15" style="29" customWidth="1"/>
    <col min="772" max="772" width="14.5703125" style="29" customWidth="1"/>
    <col min="773" max="773" width="14.7109375" style="29" customWidth="1"/>
    <col min="774" max="775" width="13.5703125" style="29" customWidth="1"/>
    <col min="776" max="776" width="12.28515625" style="29" customWidth="1"/>
    <col min="777" max="777" width="14.28515625" style="29" customWidth="1"/>
    <col min="778" max="778" width="8.5703125" style="29" customWidth="1"/>
    <col min="779" max="779" width="18.5703125" style="29" customWidth="1"/>
    <col min="780" max="780" width="9.140625" style="29"/>
    <col min="781" max="781" width="12.42578125" style="29" bestFit="1" customWidth="1"/>
    <col min="782" max="1024" width="9.140625" style="29"/>
    <col min="1025" max="1025" width="2" style="29" customWidth="1"/>
    <col min="1026" max="1026" width="57.85546875" style="29" customWidth="1"/>
    <col min="1027" max="1027" width="15" style="29" customWidth="1"/>
    <col min="1028" max="1028" width="14.5703125" style="29" customWidth="1"/>
    <col min="1029" max="1029" width="14.7109375" style="29" customWidth="1"/>
    <col min="1030" max="1031" width="13.5703125" style="29" customWidth="1"/>
    <col min="1032" max="1032" width="12.28515625" style="29" customWidth="1"/>
    <col min="1033" max="1033" width="14.28515625" style="29" customWidth="1"/>
    <col min="1034" max="1034" width="8.5703125" style="29" customWidth="1"/>
    <col min="1035" max="1035" width="18.5703125" style="29" customWidth="1"/>
    <col min="1036" max="1036" width="9.140625" style="29"/>
    <col min="1037" max="1037" width="12.42578125" style="29" bestFit="1" customWidth="1"/>
    <col min="1038" max="1280" width="9.140625" style="29"/>
    <col min="1281" max="1281" width="2" style="29" customWidth="1"/>
    <col min="1282" max="1282" width="57.85546875" style="29" customWidth="1"/>
    <col min="1283" max="1283" width="15" style="29" customWidth="1"/>
    <col min="1284" max="1284" width="14.5703125" style="29" customWidth="1"/>
    <col min="1285" max="1285" width="14.7109375" style="29" customWidth="1"/>
    <col min="1286" max="1287" width="13.5703125" style="29" customWidth="1"/>
    <col min="1288" max="1288" width="12.28515625" style="29" customWidth="1"/>
    <col min="1289" max="1289" width="14.28515625" style="29" customWidth="1"/>
    <col min="1290" max="1290" width="8.5703125" style="29" customWidth="1"/>
    <col min="1291" max="1291" width="18.5703125" style="29" customWidth="1"/>
    <col min="1292" max="1292" width="9.140625" style="29"/>
    <col min="1293" max="1293" width="12.42578125" style="29" bestFit="1" customWidth="1"/>
    <col min="1294" max="1536" width="9.140625" style="29"/>
    <col min="1537" max="1537" width="2" style="29" customWidth="1"/>
    <col min="1538" max="1538" width="57.85546875" style="29" customWidth="1"/>
    <col min="1539" max="1539" width="15" style="29" customWidth="1"/>
    <col min="1540" max="1540" width="14.5703125" style="29" customWidth="1"/>
    <col min="1541" max="1541" width="14.7109375" style="29" customWidth="1"/>
    <col min="1542" max="1543" width="13.5703125" style="29" customWidth="1"/>
    <col min="1544" max="1544" width="12.28515625" style="29" customWidth="1"/>
    <col min="1545" max="1545" width="14.28515625" style="29" customWidth="1"/>
    <col min="1546" max="1546" width="8.5703125" style="29" customWidth="1"/>
    <col min="1547" max="1547" width="18.5703125" style="29" customWidth="1"/>
    <col min="1548" max="1548" width="9.140625" style="29"/>
    <col min="1549" max="1549" width="12.42578125" style="29" bestFit="1" customWidth="1"/>
    <col min="1550" max="1792" width="9.140625" style="29"/>
    <col min="1793" max="1793" width="2" style="29" customWidth="1"/>
    <col min="1794" max="1794" width="57.85546875" style="29" customWidth="1"/>
    <col min="1795" max="1795" width="15" style="29" customWidth="1"/>
    <col min="1796" max="1796" width="14.5703125" style="29" customWidth="1"/>
    <col min="1797" max="1797" width="14.7109375" style="29" customWidth="1"/>
    <col min="1798" max="1799" width="13.5703125" style="29" customWidth="1"/>
    <col min="1800" max="1800" width="12.28515625" style="29" customWidth="1"/>
    <col min="1801" max="1801" width="14.28515625" style="29" customWidth="1"/>
    <col min="1802" max="1802" width="8.5703125" style="29" customWidth="1"/>
    <col min="1803" max="1803" width="18.5703125" style="29" customWidth="1"/>
    <col min="1804" max="1804" width="9.140625" style="29"/>
    <col min="1805" max="1805" width="12.42578125" style="29" bestFit="1" customWidth="1"/>
    <col min="1806" max="2048" width="9.140625" style="29"/>
    <col min="2049" max="2049" width="2" style="29" customWidth="1"/>
    <col min="2050" max="2050" width="57.85546875" style="29" customWidth="1"/>
    <col min="2051" max="2051" width="15" style="29" customWidth="1"/>
    <col min="2052" max="2052" width="14.5703125" style="29" customWidth="1"/>
    <col min="2053" max="2053" width="14.7109375" style="29" customWidth="1"/>
    <col min="2054" max="2055" width="13.5703125" style="29" customWidth="1"/>
    <col min="2056" max="2056" width="12.28515625" style="29" customWidth="1"/>
    <col min="2057" max="2057" width="14.28515625" style="29" customWidth="1"/>
    <col min="2058" max="2058" width="8.5703125" style="29" customWidth="1"/>
    <col min="2059" max="2059" width="18.5703125" style="29" customWidth="1"/>
    <col min="2060" max="2060" width="9.140625" style="29"/>
    <col min="2061" max="2061" width="12.42578125" style="29" bestFit="1" customWidth="1"/>
    <col min="2062" max="2304" width="9.140625" style="29"/>
    <col min="2305" max="2305" width="2" style="29" customWidth="1"/>
    <col min="2306" max="2306" width="57.85546875" style="29" customWidth="1"/>
    <col min="2307" max="2307" width="15" style="29" customWidth="1"/>
    <col min="2308" max="2308" width="14.5703125" style="29" customWidth="1"/>
    <col min="2309" max="2309" width="14.7109375" style="29" customWidth="1"/>
    <col min="2310" max="2311" width="13.5703125" style="29" customWidth="1"/>
    <col min="2312" max="2312" width="12.28515625" style="29" customWidth="1"/>
    <col min="2313" max="2313" width="14.28515625" style="29" customWidth="1"/>
    <col min="2314" max="2314" width="8.5703125" style="29" customWidth="1"/>
    <col min="2315" max="2315" width="18.5703125" style="29" customWidth="1"/>
    <col min="2316" max="2316" width="9.140625" style="29"/>
    <col min="2317" max="2317" width="12.42578125" style="29" bestFit="1" customWidth="1"/>
    <col min="2318" max="2560" width="9.140625" style="29"/>
    <col min="2561" max="2561" width="2" style="29" customWidth="1"/>
    <col min="2562" max="2562" width="57.85546875" style="29" customWidth="1"/>
    <col min="2563" max="2563" width="15" style="29" customWidth="1"/>
    <col min="2564" max="2564" width="14.5703125" style="29" customWidth="1"/>
    <col min="2565" max="2565" width="14.7109375" style="29" customWidth="1"/>
    <col min="2566" max="2567" width="13.5703125" style="29" customWidth="1"/>
    <col min="2568" max="2568" width="12.28515625" style="29" customWidth="1"/>
    <col min="2569" max="2569" width="14.28515625" style="29" customWidth="1"/>
    <col min="2570" max="2570" width="8.5703125" style="29" customWidth="1"/>
    <col min="2571" max="2571" width="18.5703125" style="29" customWidth="1"/>
    <col min="2572" max="2572" width="9.140625" style="29"/>
    <col min="2573" max="2573" width="12.42578125" style="29" bestFit="1" customWidth="1"/>
    <col min="2574" max="2816" width="9.140625" style="29"/>
    <col min="2817" max="2817" width="2" style="29" customWidth="1"/>
    <col min="2818" max="2818" width="57.85546875" style="29" customWidth="1"/>
    <col min="2819" max="2819" width="15" style="29" customWidth="1"/>
    <col min="2820" max="2820" width="14.5703125" style="29" customWidth="1"/>
    <col min="2821" max="2821" width="14.7109375" style="29" customWidth="1"/>
    <col min="2822" max="2823" width="13.5703125" style="29" customWidth="1"/>
    <col min="2824" max="2824" width="12.28515625" style="29" customWidth="1"/>
    <col min="2825" max="2825" width="14.28515625" style="29" customWidth="1"/>
    <col min="2826" max="2826" width="8.5703125" style="29" customWidth="1"/>
    <col min="2827" max="2827" width="18.5703125" style="29" customWidth="1"/>
    <col min="2828" max="2828" width="9.140625" style="29"/>
    <col min="2829" max="2829" width="12.42578125" style="29" bestFit="1" customWidth="1"/>
    <col min="2830" max="3072" width="9.140625" style="29"/>
    <col min="3073" max="3073" width="2" style="29" customWidth="1"/>
    <col min="3074" max="3074" width="57.85546875" style="29" customWidth="1"/>
    <col min="3075" max="3075" width="15" style="29" customWidth="1"/>
    <col min="3076" max="3076" width="14.5703125" style="29" customWidth="1"/>
    <col min="3077" max="3077" width="14.7109375" style="29" customWidth="1"/>
    <col min="3078" max="3079" width="13.5703125" style="29" customWidth="1"/>
    <col min="3080" max="3080" width="12.28515625" style="29" customWidth="1"/>
    <col min="3081" max="3081" width="14.28515625" style="29" customWidth="1"/>
    <col min="3082" max="3082" width="8.5703125" style="29" customWidth="1"/>
    <col min="3083" max="3083" width="18.5703125" style="29" customWidth="1"/>
    <col min="3084" max="3084" width="9.140625" style="29"/>
    <col min="3085" max="3085" width="12.42578125" style="29" bestFit="1" customWidth="1"/>
    <col min="3086" max="3328" width="9.140625" style="29"/>
    <col min="3329" max="3329" width="2" style="29" customWidth="1"/>
    <col min="3330" max="3330" width="57.85546875" style="29" customWidth="1"/>
    <col min="3331" max="3331" width="15" style="29" customWidth="1"/>
    <col min="3332" max="3332" width="14.5703125" style="29" customWidth="1"/>
    <col min="3333" max="3333" width="14.7109375" style="29" customWidth="1"/>
    <col min="3334" max="3335" width="13.5703125" style="29" customWidth="1"/>
    <col min="3336" max="3336" width="12.28515625" style="29" customWidth="1"/>
    <col min="3337" max="3337" width="14.28515625" style="29" customWidth="1"/>
    <col min="3338" max="3338" width="8.5703125" style="29" customWidth="1"/>
    <col min="3339" max="3339" width="18.5703125" style="29" customWidth="1"/>
    <col min="3340" max="3340" width="9.140625" style="29"/>
    <col min="3341" max="3341" width="12.42578125" style="29" bestFit="1" customWidth="1"/>
    <col min="3342" max="3584" width="9.140625" style="29"/>
    <col min="3585" max="3585" width="2" style="29" customWidth="1"/>
    <col min="3586" max="3586" width="57.85546875" style="29" customWidth="1"/>
    <col min="3587" max="3587" width="15" style="29" customWidth="1"/>
    <col min="3588" max="3588" width="14.5703125" style="29" customWidth="1"/>
    <col min="3589" max="3589" width="14.7109375" style="29" customWidth="1"/>
    <col min="3590" max="3591" width="13.5703125" style="29" customWidth="1"/>
    <col min="3592" max="3592" width="12.28515625" style="29" customWidth="1"/>
    <col min="3593" max="3593" width="14.28515625" style="29" customWidth="1"/>
    <col min="3594" max="3594" width="8.5703125" style="29" customWidth="1"/>
    <col min="3595" max="3595" width="18.5703125" style="29" customWidth="1"/>
    <col min="3596" max="3596" width="9.140625" style="29"/>
    <col min="3597" max="3597" width="12.42578125" style="29" bestFit="1" customWidth="1"/>
    <col min="3598" max="3840" width="9.140625" style="29"/>
    <col min="3841" max="3841" width="2" style="29" customWidth="1"/>
    <col min="3842" max="3842" width="57.85546875" style="29" customWidth="1"/>
    <col min="3843" max="3843" width="15" style="29" customWidth="1"/>
    <col min="3844" max="3844" width="14.5703125" style="29" customWidth="1"/>
    <col min="3845" max="3845" width="14.7109375" style="29" customWidth="1"/>
    <col min="3846" max="3847" width="13.5703125" style="29" customWidth="1"/>
    <col min="3848" max="3848" width="12.28515625" style="29" customWidth="1"/>
    <col min="3849" max="3849" width="14.28515625" style="29" customWidth="1"/>
    <col min="3850" max="3850" width="8.5703125" style="29" customWidth="1"/>
    <col min="3851" max="3851" width="18.5703125" style="29" customWidth="1"/>
    <col min="3852" max="3852" width="9.140625" style="29"/>
    <col min="3853" max="3853" width="12.42578125" style="29" bestFit="1" customWidth="1"/>
    <col min="3854" max="4096" width="9.140625" style="29"/>
    <col min="4097" max="4097" width="2" style="29" customWidth="1"/>
    <col min="4098" max="4098" width="57.85546875" style="29" customWidth="1"/>
    <col min="4099" max="4099" width="15" style="29" customWidth="1"/>
    <col min="4100" max="4100" width="14.5703125" style="29" customWidth="1"/>
    <col min="4101" max="4101" width="14.7109375" style="29" customWidth="1"/>
    <col min="4102" max="4103" width="13.5703125" style="29" customWidth="1"/>
    <col min="4104" max="4104" width="12.28515625" style="29" customWidth="1"/>
    <col min="4105" max="4105" width="14.28515625" style="29" customWidth="1"/>
    <col min="4106" max="4106" width="8.5703125" style="29" customWidth="1"/>
    <col min="4107" max="4107" width="18.5703125" style="29" customWidth="1"/>
    <col min="4108" max="4108" width="9.140625" style="29"/>
    <col min="4109" max="4109" width="12.42578125" style="29" bestFit="1" customWidth="1"/>
    <col min="4110" max="4352" width="9.140625" style="29"/>
    <col min="4353" max="4353" width="2" style="29" customWidth="1"/>
    <col min="4354" max="4354" width="57.85546875" style="29" customWidth="1"/>
    <col min="4355" max="4355" width="15" style="29" customWidth="1"/>
    <col min="4356" max="4356" width="14.5703125" style="29" customWidth="1"/>
    <col min="4357" max="4357" width="14.7109375" style="29" customWidth="1"/>
    <col min="4358" max="4359" width="13.5703125" style="29" customWidth="1"/>
    <col min="4360" max="4360" width="12.28515625" style="29" customWidth="1"/>
    <col min="4361" max="4361" width="14.28515625" style="29" customWidth="1"/>
    <col min="4362" max="4362" width="8.5703125" style="29" customWidth="1"/>
    <col min="4363" max="4363" width="18.5703125" style="29" customWidth="1"/>
    <col min="4364" max="4364" width="9.140625" style="29"/>
    <col min="4365" max="4365" width="12.42578125" style="29" bestFit="1" customWidth="1"/>
    <col min="4366" max="4608" width="9.140625" style="29"/>
    <col min="4609" max="4609" width="2" style="29" customWidth="1"/>
    <col min="4610" max="4610" width="57.85546875" style="29" customWidth="1"/>
    <col min="4611" max="4611" width="15" style="29" customWidth="1"/>
    <col min="4612" max="4612" width="14.5703125" style="29" customWidth="1"/>
    <col min="4613" max="4613" width="14.7109375" style="29" customWidth="1"/>
    <col min="4614" max="4615" width="13.5703125" style="29" customWidth="1"/>
    <col min="4616" max="4616" width="12.28515625" style="29" customWidth="1"/>
    <col min="4617" max="4617" width="14.28515625" style="29" customWidth="1"/>
    <col min="4618" max="4618" width="8.5703125" style="29" customWidth="1"/>
    <col min="4619" max="4619" width="18.5703125" style="29" customWidth="1"/>
    <col min="4620" max="4620" width="9.140625" style="29"/>
    <col min="4621" max="4621" width="12.42578125" style="29" bestFit="1" customWidth="1"/>
    <col min="4622" max="4864" width="9.140625" style="29"/>
    <col min="4865" max="4865" width="2" style="29" customWidth="1"/>
    <col min="4866" max="4866" width="57.85546875" style="29" customWidth="1"/>
    <col min="4867" max="4867" width="15" style="29" customWidth="1"/>
    <col min="4868" max="4868" width="14.5703125" style="29" customWidth="1"/>
    <col min="4869" max="4869" width="14.7109375" style="29" customWidth="1"/>
    <col min="4870" max="4871" width="13.5703125" style="29" customWidth="1"/>
    <col min="4872" max="4872" width="12.28515625" style="29" customWidth="1"/>
    <col min="4873" max="4873" width="14.28515625" style="29" customWidth="1"/>
    <col min="4874" max="4874" width="8.5703125" style="29" customWidth="1"/>
    <col min="4875" max="4875" width="18.5703125" style="29" customWidth="1"/>
    <col min="4876" max="4876" width="9.140625" style="29"/>
    <col min="4877" max="4877" width="12.42578125" style="29" bestFit="1" customWidth="1"/>
    <col min="4878" max="5120" width="9.140625" style="29"/>
    <col min="5121" max="5121" width="2" style="29" customWidth="1"/>
    <col min="5122" max="5122" width="57.85546875" style="29" customWidth="1"/>
    <col min="5123" max="5123" width="15" style="29" customWidth="1"/>
    <col min="5124" max="5124" width="14.5703125" style="29" customWidth="1"/>
    <col min="5125" max="5125" width="14.7109375" style="29" customWidth="1"/>
    <col min="5126" max="5127" width="13.5703125" style="29" customWidth="1"/>
    <col min="5128" max="5128" width="12.28515625" style="29" customWidth="1"/>
    <col min="5129" max="5129" width="14.28515625" style="29" customWidth="1"/>
    <col min="5130" max="5130" width="8.5703125" style="29" customWidth="1"/>
    <col min="5131" max="5131" width="18.5703125" style="29" customWidth="1"/>
    <col min="5132" max="5132" width="9.140625" style="29"/>
    <col min="5133" max="5133" width="12.42578125" style="29" bestFit="1" customWidth="1"/>
    <col min="5134" max="5376" width="9.140625" style="29"/>
    <col min="5377" max="5377" width="2" style="29" customWidth="1"/>
    <col min="5378" max="5378" width="57.85546875" style="29" customWidth="1"/>
    <col min="5379" max="5379" width="15" style="29" customWidth="1"/>
    <col min="5380" max="5380" width="14.5703125" style="29" customWidth="1"/>
    <col min="5381" max="5381" width="14.7109375" style="29" customWidth="1"/>
    <col min="5382" max="5383" width="13.5703125" style="29" customWidth="1"/>
    <col min="5384" max="5384" width="12.28515625" style="29" customWidth="1"/>
    <col min="5385" max="5385" width="14.28515625" style="29" customWidth="1"/>
    <col min="5386" max="5386" width="8.5703125" style="29" customWidth="1"/>
    <col min="5387" max="5387" width="18.5703125" style="29" customWidth="1"/>
    <col min="5388" max="5388" width="9.140625" style="29"/>
    <col min="5389" max="5389" width="12.42578125" style="29" bestFit="1" customWidth="1"/>
    <col min="5390" max="5632" width="9.140625" style="29"/>
    <col min="5633" max="5633" width="2" style="29" customWidth="1"/>
    <col min="5634" max="5634" width="57.85546875" style="29" customWidth="1"/>
    <col min="5635" max="5635" width="15" style="29" customWidth="1"/>
    <col min="5636" max="5636" width="14.5703125" style="29" customWidth="1"/>
    <col min="5637" max="5637" width="14.7109375" style="29" customWidth="1"/>
    <col min="5638" max="5639" width="13.5703125" style="29" customWidth="1"/>
    <col min="5640" max="5640" width="12.28515625" style="29" customWidth="1"/>
    <col min="5641" max="5641" width="14.28515625" style="29" customWidth="1"/>
    <col min="5642" max="5642" width="8.5703125" style="29" customWidth="1"/>
    <col min="5643" max="5643" width="18.5703125" style="29" customWidth="1"/>
    <col min="5644" max="5644" width="9.140625" style="29"/>
    <col min="5645" max="5645" width="12.42578125" style="29" bestFit="1" customWidth="1"/>
    <col min="5646" max="5888" width="9.140625" style="29"/>
    <col min="5889" max="5889" width="2" style="29" customWidth="1"/>
    <col min="5890" max="5890" width="57.85546875" style="29" customWidth="1"/>
    <col min="5891" max="5891" width="15" style="29" customWidth="1"/>
    <col min="5892" max="5892" width="14.5703125" style="29" customWidth="1"/>
    <col min="5893" max="5893" width="14.7109375" style="29" customWidth="1"/>
    <col min="5894" max="5895" width="13.5703125" style="29" customWidth="1"/>
    <col min="5896" max="5896" width="12.28515625" style="29" customWidth="1"/>
    <col min="5897" max="5897" width="14.28515625" style="29" customWidth="1"/>
    <col min="5898" max="5898" width="8.5703125" style="29" customWidth="1"/>
    <col min="5899" max="5899" width="18.5703125" style="29" customWidth="1"/>
    <col min="5900" max="5900" width="9.140625" style="29"/>
    <col min="5901" max="5901" width="12.42578125" style="29" bestFit="1" customWidth="1"/>
    <col min="5902" max="6144" width="9.140625" style="29"/>
    <col min="6145" max="6145" width="2" style="29" customWidth="1"/>
    <col min="6146" max="6146" width="57.85546875" style="29" customWidth="1"/>
    <col min="6147" max="6147" width="15" style="29" customWidth="1"/>
    <col min="6148" max="6148" width="14.5703125" style="29" customWidth="1"/>
    <col min="6149" max="6149" width="14.7109375" style="29" customWidth="1"/>
    <col min="6150" max="6151" width="13.5703125" style="29" customWidth="1"/>
    <col min="6152" max="6152" width="12.28515625" style="29" customWidth="1"/>
    <col min="6153" max="6153" width="14.28515625" style="29" customWidth="1"/>
    <col min="6154" max="6154" width="8.5703125" style="29" customWidth="1"/>
    <col min="6155" max="6155" width="18.5703125" style="29" customWidth="1"/>
    <col min="6156" max="6156" width="9.140625" style="29"/>
    <col min="6157" max="6157" width="12.42578125" style="29" bestFit="1" customWidth="1"/>
    <col min="6158" max="6400" width="9.140625" style="29"/>
    <col min="6401" max="6401" width="2" style="29" customWidth="1"/>
    <col min="6402" max="6402" width="57.85546875" style="29" customWidth="1"/>
    <col min="6403" max="6403" width="15" style="29" customWidth="1"/>
    <col min="6404" max="6404" width="14.5703125" style="29" customWidth="1"/>
    <col min="6405" max="6405" width="14.7109375" style="29" customWidth="1"/>
    <col min="6406" max="6407" width="13.5703125" style="29" customWidth="1"/>
    <col min="6408" max="6408" width="12.28515625" style="29" customWidth="1"/>
    <col min="6409" max="6409" width="14.28515625" style="29" customWidth="1"/>
    <col min="6410" max="6410" width="8.5703125" style="29" customWidth="1"/>
    <col min="6411" max="6411" width="18.5703125" style="29" customWidth="1"/>
    <col min="6412" max="6412" width="9.140625" style="29"/>
    <col min="6413" max="6413" width="12.42578125" style="29" bestFit="1" customWidth="1"/>
    <col min="6414" max="6656" width="9.140625" style="29"/>
    <col min="6657" max="6657" width="2" style="29" customWidth="1"/>
    <col min="6658" max="6658" width="57.85546875" style="29" customWidth="1"/>
    <col min="6659" max="6659" width="15" style="29" customWidth="1"/>
    <col min="6660" max="6660" width="14.5703125" style="29" customWidth="1"/>
    <col min="6661" max="6661" width="14.7109375" style="29" customWidth="1"/>
    <col min="6662" max="6663" width="13.5703125" style="29" customWidth="1"/>
    <col min="6664" max="6664" width="12.28515625" style="29" customWidth="1"/>
    <col min="6665" max="6665" width="14.28515625" style="29" customWidth="1"/>
    <col min="6666" max="6666" width="8.5703125" style="29" customWidth="1"/>
    <col min="6667" max="6667" width="18.5703125" style="29" customWidth="1"/>
    <col min="6668" max="6668" width="9.140625" style="29"/>
    <col min="6669" max="6669" width="12.42578125" style="29" bestFit="1" customWidth="1"/>
    <col min="6670" max="6912" width="9.140625" style="29"/>
    <col min="6913" max="6913" width="2" style="29" customWidth="1"/>
    <col min="6914" max="6914" width="57.85546875" style="29" customWidth="1"/>
    <col min="6915" max="6915" width="15" style="29" customWidth="1"/>
    <col min="6916" max="6916" width="14.5703125" style="29" customWidth="1"/>
    <col min="6917" max="6917" width="14.7109375" style="29" customWidth="1"/>
    <col min="6918" max="6919" width="13.5703125" style="29" customWidth="1"/>
    <col min="6920" max="6920" width="12.28515625" style="29" customWidth="1"/>
    <col min="6921" max="6921" width="14.28515625" style="29" customWidth="1"/>
    <col min="6922" max="6922" width="8.5703125" style="29" customWidth="1"/>
    <col min="6923" max="6923" width="18.5703125" style="29" customWidth="1"/>
    <col min="6924" max="6924" width="9.140625" style="29"/>
    <col min="6925" max="6925" width="12.42578125" style="29" bestFit="1" customWidth="1"/>
    <col min="6926" max="7168" width="9.140625" style="29"/>
    <col min="7169" max="7169" width="2" style="29" customWidth="1"/>
    <col min="7170" max="7170" width="57.85546875" style="29" customWidth="1"/>
    <col min="7171" max="7171" width="15" style="29" customWidth="1"/>
    <col min="7172" max="7172" width="14.5703125" style="29" customWidth="1"/>
    <col min="7173" max="7173" width="14.7109375" style="29" customWidth="1"/>
    <col min="7174" max="7175" width="13.5703125" style="29" customWidth="1"/>
    <col min="7176" max="7176" width="12.28515625" style="29" customWidth="1"/>
    <col min="7177" max="7177" width="14.28515625" style="29" customWidth="1"/>
    <col min="7178" max="7178" width="8.5703125" style="29" customWidth="1"/>
    <col min="7179" max="7179" width="18.5703125" style="29" customWidth="1"/>
    <col min="7180" max="7180" width="9.140625" style="29"/>
    <col min="7181" max="7181" width="12.42578125" style="29" bestFit="1" customWidth="1"/>
    <col min="7182" max="7424" width="9.140625" style="29"/>
    <col min="7425" max="7425" width="2" style="29" customWidth="1"/>
    <col min="7426" max="7426" width="57.85546875" style="29" customWidth="1"/>
    <col min="7427" max="7427" width="15" style="29" customWidth="1"/>
    <col min="7428" max="7428" width="14.5703125" style="29" customWidth="1"/>
    <col min="7429" max="7429" width="14.7109375" style="29" customWidth="1"/>
    <col min="7430" max="7431" width="13.5703125" style="29" customWidth="1"/>
    <col min="7432" max="7432" width="12.28515625" style="29" customWidth="1"/>
    <col min="7433" max="7433" width="14.28515625" style="29" customWidth="1"/>
    <col min="7434" max="7434" width="8.5703125" style="29" customWidth="1"/>
    <col min="7435" max="7435" width="18.5703125" style="29" customWidth="1"/>
    <col min="7436" max="7436" width="9.140625" style="29"/>
    <col min="7437" max="7437" width="12.42578125" style="29" bestFit="1" customWidth="1"/>
    <col min="7438" max="7680" width="9.140625" style="29"/>
    <col min="7681" max="7681" width="2" style="29" customWidth="1"/>
    <col min="7682" max="7682" width="57.85546875" style="29" customWidth="1"/>
    <col min="7683" max="7683" width="15" style="29" customWidth="1"/>
    <col min="7684" max="7684" width="14.5703125" style="29" customWidth="1"/>
    <col min="7685" max="7685" width="14.7109375" style="29" customWidth="1"/>
    <col min="7686" max="7687" width="13.5703125" style="29" customWidth="1"/>
    <col min="7688" max="7688" width="12.28515625" style="29" customWidth="1"/>
    <col min="7689" max="7689" width="14.28515625" style="29" customWidth="1"/>
    <col min="7690" max="7690" width="8.5703125" style="29" customWidth="1"/>
    <col min="7691" max="7691" width="18.5703125" style="29" customWidth="1"/>
    <col min="7692" max="7692" width="9.140625" style="29"/>
    <col min="7693" max="7693" width="12.42578125" style="29" bestFit="1" customWidth="1"/>
    <col min="7694" max="7936" width="9.140625" style="29"/>
    <col min="7937" max="7937" width="2" style="29" customWidth="1"/>
    <col min="7938" max="7938" width="57.85546875" style="29" customWidth="1"/>
    <col min="7939" max="7939" width="15" style="29" customWidth="1"/>
    <col min="7940" max="7940" width="14.5703125" style="29" customWidth="1"/>
    <col min="7941" max="7941" width="14.7109375" style="29" customWidth="1"/>
    <col min="7942" max="7943" width="13.5703125" style="29" customWidth="1"/>
    <col min="7944" max="7944" width="12.28515625" style="29" customWidth="1"/>
    <col min="7945" max="7945" width="14.28515625" style="29" customWidth="1"/>
    <col min="7946" max="7946" width="8.5703125" style="29" customWidth="1"/>
    <col min="7947" max="7947" width="18.5703125" style="29" customWidth="1"/>
    <col min="7948" max="7948" width="9.140625" style="29"/>
    <col min="7949" max="7949" width="12.42578125" style="29" bestFit="1" customWidth="1"/>
    <col min="7950" max="8192" width="9.140625" style="29"/>
    <col min="8193" max="8193" width="2" style="29" customWidth="1"/>
    <col min="8194" max="8194" width="57.85546875" style="29" customWidth="1"/>
    <col min="8195" max="8195" width="15" style="29" customWidth="1"/>
    <col min="8196" max="8196" width="14.5703125" style="29" customWidth="1"/>
    <col min="8197" max="8197" width="14.7109375" style="29" customWidth="1"/>
    <col min="8198" max="8199" width="13.5703125" style="29" customWidth="1"/>
    <col min="8200" max="8200" width="12.28515625" style="29" customWidth="1"/>
    <col min="8201" max="8201" width="14.28515625" style="29" customWidth="1"/>
    <col min="8202" max="8202" width="8.5703125" style="29" customWidth="1"/>
    <col min="8203" max="8203" width="18.5703125" style="29" customWidth="1"/>
    <col min="8204" max="8204" width="9.140625" style="29"/>
    <col min="8205" max="8205" width="12.42578125" style="29" bestFit="1" customWidth="1"/>
    <col min="8206" max="8448" width="9.140625" style="29"/>
    <col min="8449" max="8449" width="2" style="29" customWidth="1"/>
    <col min="8450" max="8450" width="57.85546875" style="29" customWidth="1"/>
    <col min="8451" max="8451" width="15" style="29" customWidth="1"/>
    <col min="8452" max="8452" width="14.5703125" style="29" customWidth="1"/>
    <col min="8453" max="8453" width="14.7109375" style="29" customWidth="1"/>
    <col min="8454" max="8455" width="13.5703125" style="29" customWidth="1"/>
    <col min="8456" max="8456" width="12.28515625" style="29" customWidth="1"/>
    <col min="8457" max="8457" width="14.28515625" style="29" customWidth="1"/>
    <col min="8458" max="8458" width="8.5703125" style="29" customWidth="1"/>
    <col min="8459" max="8459" width="18.5703125" style="29" customWidth="1"/>
    <col min="8460" max="8460" width="9.140625" style="29"/>
    <col min="8461" max="8461" width="12.42578125" style="29" bestFit="1" customWidth="1"/>
    <col min="8462" max="8704" width="9.140625" style="29"/>
    <col min="8705" max="8705" width="2" style="29" customWidth="1"/>
    <col min="8706" max="8706" width="57.85546875" style="29" customWidth="1"/>
    <col min="8707" max="8707" width="15" style="29" customWidth="1"/>
    <col min="8708" max="8708" width="14.5703125" style="29" customWidth="1"/>
    <col min="8709" max="8709" width="14.7109375" style="29" customWidth="1"/>
    <col min="8710" max="8711" width="13.5703125" style="29" customWidth="1"/>
    <col min="8712" max="8712" width="12.28515625" style="29" customWidth="1"/>
    <col min="8713" max="8713" width="14.28515625" style="29" customWidth="1"/>
    <col min="8714" max="8714" width="8.5703125" style="29" customWidth="1"/>
    <col min="8715" max="8715" width="18.5703125" style="29" customWidth="1"/>
    <col min="8716" max="8716" width="9.140625" style="29"/>
    <col min="8717" max="8717" width="12.42578125" style="29" bestFit="1" customWidth="1"/>
    <col min="8718" max="8960" width="9.140625" style="29"/>
    <col min="8961" max="8961" width="2" style="29" customWidth="1"/>
    <col min="8962" max="8962" width="57.85546875" style="29" customWidth="1"/>
    <col min="8963" max="8963" width="15" style="29" customWidth="1"/>
    <col min="8964" max="8964" width="14.5703125" style="29" customWidth="1"/>
    <col min="8965" max="8965" width="14.7109375" style="29" customWidth="1"/>
    <col min="8966" max="8967" width="13.5703125" style="29" customWidth="1"/>
    <col min="8968" max="8968" width="12.28515625" style="29" customWidth="1"/>
    <col min="8969" max="8969" width="14.28515625" style="29" customWidth="1"/>
    <col min="8970" max="8970" width="8.5703125" style="29" customWidth="1"/>
    <col min="8971" max="8971" width="18.5703125" style="29" customWidth="1"/>
    <col min="8972" max="8972" width="9.140625" style="29"/>
    <col min="8973" max="8973" width="12.42578125" style="29" bestFit="1" customWidth="1"/>
    <col min="8974" max="9216" width="9.140625" style="29"/>
    <col min="9217" max="9217" width="2" style="29" customWidth="1"/>
    <col min="9218" max="9218" width="57.85546875" style="29" customWidth="1"/>
    <col min="9219" max="9219" width="15" style="29" customWidth="1"/>
    <col min="9220" max="9220" width="14.5703125" style="29" customWidth="1"/>
    <col min="9221" max="9221" width="14.7109375" style="29" customWidth="1"/>
    <col min="9222" max="9223" width="13.5703125" style="29" customWidth="1"/>
    <col min="9224" max="9224" width="12.28515625" style="29" customWidth="1"/>
    <col min="9225" max="9225" width="14.28515625" style="29" customWidth="1"/>
    <col min="9226" max="9226" width="8.5703125" style="29" customWidth="1"/>
    <col min="9227" max="9227" width="18.5703125" style="29" customWidth="1"/>
    <col min="9228" max="9228" width="9.140625" style="29"/>
    <col min="9229" max="9229" width="12.42578125" style="29" bestFit="1" customWidth="1"/>
    <col min="9230" max="9472" width="9.140625" style="29"/>
    <col min="9473" max="9473" width="2" style="29" customWidth="1"/>
    <col min="9474" max="9474" width="57.85546875" style="29" customWidth="1"/>
    <col min="9475" max="9475" width="15" style="29" customWidth="1"/>
    <col min="9476" max="9476" width="14.5703125" style="29" customWidth="1"/>
    <col min="9477" max="9477" width="14.7109375" style="29" customWidth="1"/>
    <col min="9478" max="9479" width="13.5703125" style="29" customWidth="1"/>
    <col min="9480" max="9480" width="12.28515625" style="29" customWidth="1"/>
    <col min="9481" max="9481" width="14.28515625" style="29" customWidth="1"/>
    <col min="9482" max="9482" width="8.5703125" style="29" customWidth="1"/>
    <col min="9483" max="9483" width="18.5703125" style="29" customWidth="1"/>
    <col min="9484" max="9484" width="9.140625" style="29"/>
    <col min="9485" max="9485" width="12.42578125" style="29" bestFit="1" customWidth="1"/>
    <col min="9486" max="9728" width="9.140625" style="29"/>
    <col min="9729" max="9729" width="2" style="29" customWidth="1"/>
    <col min="9730" max="9730" width="57.85546875" style="29" customWidth="1"/>
    <col min="9731" max="9731" width="15" style="29" customWidth="1"/>
    <col min="9732" max="9732" width="14.5703125" style="29" customWidth="1"/>
    <col min="9733" max="9733" width="14.7109375" style="29" customWidth="1"/>
    <col min="9734" max="9735" width="13.5703125" style="29" customWidth="1"/>
    <col min="9736" max="9736" width="12.28515625" style="29" customWidth="1"/>
    <col min="9737" max="9737" width="14.28515625" style="29" customWidth="1"/>
    <col min="9738" max="9738" width="8.5703125" style="29" customWidth="1"/>
    <col min="9739" max="9739" width="18.5703125" style="29" customWidth="1"/>
    <col min="9740" max="9740" width="9.140625" style="29"/>
    <col min="9741" max="9741" width="12.42578125" style="29" bestFit="1" customWidth="1"/>
    <col min="9742" max="9984" width="9.140625" style="29"/>
    <col min="9985" max="9985" width="2" style="29" customWidth="1"/>
    <col min="9986" max="9986" width="57.85546875" style="29" customWidth="1"/>
    <col min="9987" max="9987" width="15" style="29" customWidth="1"/>
    <col min="9988" max="9988" width="14.5703125" style="29" customWidth="1"/>
    <col min="9989" max="9989" width="14.7109375" style="29" customWidth="1"/>
    <col min="9990" max="9991" width="13.5703125" style="29" customWidth="1"/>
    <col min="9992" max="9992" width="12.28515625" style="29" customWidth="1"/>
    <col min="9993" max="9993" width="14.28515625" style="29" customWidth="1"/>
    <col min="9994" max="9994" width="8.5703125" style="29" customWidth="1"/>
    <col min="9995" max="9995" width="18.5703125" style="29" customWidth="1"/>
    <col min="9996" max="9996" width="9.140625" style="29"/>
    <col min="9997" max="9997" width="12.42578125" style="29" bestFit="1" customWidth="1"/>
    <col min="9998" max="10240" width="9.140625" style="29"/>
    <col min="10241" max="10241" width="2" style="29" customWidth="1"/>
    <col min="10242" max="10242" width="57.85546875" style="29" customWidth="1"/>
    <col min="10243" max="10243" width="15" style="29" customWidth="1"/>
    <col min="10244" max="10244" width="14.5703125" style="29" customWidth="1"/>
    <col min="10245" max="10245" width="14.7109375" style="29" customWidth="1"/>
    <col min="10246" max="10247" width="13.5703125" style="29" customWidth="1"/>
    <col min="10248" max="10248" width="12.28515625" style="29" customWidth="1"/>
    <col min="10249" max="10249" width="14.28515625" style="29" customWidth="1"/>
    <col min="10250" max="10250" width="8.5703125" style="29" customWidth="1"/>
    <col min="10251" max="10251" width="18.5703125" style="29" customWidth="1"/>
    <col min="10252" max="10252" width="9.140625" style="29"/>
    <col min="10253" max="10253" width="12.42578125" style="29" bestFit="1" customWidth="1"/>
    <col min="10254" max="10496" width="9.140625" style="29"/>
    <col min="10497" max="10497" width="2" style="29" customWidth="1"/>
    <col min="10498" max="10498" width="57.85546875" style="29" customWidth="1"/>
    <col min="10499" max="10499" width="15" style="29" customWidth="1"/>
    <col min="10500" max="10500" width="14.5703125" style="29" customWidth="1"/>
    <col min="10501" max="10501" width="14.7109375" style="29" customWidth="1"/>
    <col min="10502" max="10503" width="13.5703125" style="29" customWidth="1"/>
    <col min="10504" max="10504" width="12.28515625" style="29" customWidth="1"/>
    <col min="10505" max="10505" width="14.28515625" style="29" customWidth="1"/>
    <col min="10506" max="10506" width="8.5703125" style="29" customWidth="1"/>
    <col min="10507" max="10507" width="18.5703125" style="29" customWidth="1"/>
    <col min="10508" max="10508" width="9.140625" style="29"/>
    <col min="10509" max="10509" width="12.42578125" style="29" bestFit="1" customWidth="1"/>
    <col min="10510" max="10752" width="9.140625" style="29"/>
    <col min="10753" max="10753" width="2" style="29" customWidth="1"/>
    <col min="10754" max="10754" width="57.85546875" style="29" customWidth="1"/>
    <col min="10755" max="10755" width="15" style="29" customWidth="1"/>
    <col min="10756" max="10756" width="14.5703125" style="29" customWidth="1"/>
    <col min="10757" max="10757" width="14.7109375" style="29" customWidth="1"/>
    <col min="10758" max="10759" width="13.5703125" style="29" customWidth="1"/>
    <col min="10760" max="10760" width="12.28515625" style="29" customWidth="1"/>
    <col min="10761" max="10761" width="14.28515625" style="29" customWidth="1"/>
    <col min="10762" max="10762" width="8.5703125" style="29" customWidth="1"/>
    <col min="10763" max="10763" width="18.5703125" style="29" customWidth="1"/>
    <col min="10764" max="10764" width="9.140625" style="29"/>
    <col min="10765" max="10765" width="12.42578125" style="29" bestFit="1" customWidth="1"/>
    <col min="10766" max="11008" width="9.140625" style="29"/>
    <col min="11009" max="11009" width="2" style="29" customWidth="1"/>
    <col min="11010" max="11010" width="57.85546875" style="29" customWidth="1"/>
    <col min="11011" max="11011" width="15" style="29" customWidth="1"/>
    <col min="11012" max="11012" width="14.5703125" style="29" customWidth="1"/>
    <col min="11013" max="11013" width="14.7109375" style="29" customWidth="1"/>
    <col min="11014" max="11015" width="13.5703125" style="29" customWidth="1"/>
    <col min="11016" max="11016" width="12.28515625" style="29" customWidth="1"/>
    <col min="11017" max="11017" width="14.28515625" style="29" customWidth="1"/>
    <col min="11018" max="11018" width="8.5703125" style="29" customWidth="1"/>
    <col min="11019" max="11019" width="18.5703125" style="29" customWidth="1"/>
    <col min="11020" max="11020" width="9.140625" style="29"/>
    <col min="11021" max="11021" width="12.42578125" style="29" bestFit="1" customWidth="1"/>
    <col min="11022" max="11264" width="9.140625" style="29"/>
    <col min="11265" max="11265" width="2" style="29" customWidth="1"/>
    <col min="11266" max="11266" width="57.85546875" style="29" customWidth="1"/>
    <col min="11267" max="11267" width="15" style="29" customWidth="1"/>
    <col min="11268" max="11268" width="14.5703125" style="29" customWidth="1"/>
    <col min="11269" max="11269" width="14.7109375" style="29" customWidth="1"/>
    <col min="11270" max="11271" width="13.5703125" style="29" customWidth="1"/>
    <col min="11272" max="11272" width="12.28515625" style="29" customWidth="1"/>
    <col min="11273" max="11273" width="14.28515625" style="29" customWidth="1"/>
    <col min="11274" max="11274" width="8.5703125" style="29" customWidth="1"/>
    <col min="11275" max="11275" width="18.5703125" style="29" customWidth="1"/>
    <col min="11276" max="11276" width="9.140625" style="29"/>
    <col min="11277" max="11277" width="12.42578125" style="29" bestFit="1" customWidth="1"/>
    <col min="11278" max="11520" width="9.140625" style="29"/>
    <col min="11521" max="11521" width="2" style="29" customWidth="1"/>
    <col min="11522" max="11522" width="57.85546875" style="29" customWidth="1"/>
    <col min="11523" max="11523" width="15" style="29" customWidth="1"/>
    <col min="11524" max="11524" width="14.5703125" style="29" customWidth="1"/>
    <col min="11525" max="11525" width="14.7109375" style="29" customWidth="1"/>
    <col min="11526" max="11527" width="13.5703125" style="29" customWidth="1"/>
    <col min="11528" max="11528" width="12.28515625" style="29" customWidth="1"/>
    <col min="11529" max="11529" width="14.28515625" style="29" customWidth="1"/>
    <col min="11530" max="11530" width="8.5703125" style="29" customWidth="1"/>
    <col min="11531" max="11531" width="18.5703125" style="29" customWidth="1"/>
    <col min="11532" max="11532" width="9.140625" style="29"/>
    <col min="11533" max="11533" width="12.42578125" style="29" bestFit="1" customWidth="1"/>
    <col min="11534" max="11776" width="9.140625" style="29"/>
    <col min="11777" max="11777" width="2" style="29" customWidth="1"/>
    <col min="11778" max="11778" width="57.85546875" style="29" customWidth="1"/>
    <col min="11779" max="11779" width="15" style="29" customWidth="1"/>
    <col min="11780" max="11780" width="14.5703125" style="29" customWidth="1"/>
    <col min="11781" max="11781" width="14.7109375" style="29" customWidth="1"/>
    <col min="11782" max="11783" width="13.5703125" style="29" customWidth="1"/>
    <col min="11784" max="11784" width="12.28515625" style="29" customWidth="1"/>
    <col min="11785" max="11785" width="14.28515625" style="29" customWidth="1"/>
    <col min="11786" max="11786" width="8.5703125" style="29" customWidth="1"/>
    <col min="11787" max="11787" width="18.5703125" style="29" customWidth="1"/>
    <col min="11788" max="11788" width="9.140625" style="29"/>
    <col min="11789" max="11789" width="12.42578125" style="29" bestFit="1" customWidth="1"/>
    <col min="11790" max="12032" width="9.140625" style="29"/>
    <col min="12033" max="12033" width="2" style="29" customWidth="1"/>
    <col min="12034" max="12034" width="57.85546875" style="29" customWidth="1"/>
    <col min="12035" max="12035" width="15" style="29" customWidth="1"/>
    <col min="12036" max="12036" width="14.5703125" style="29" customWidth="1"/>
    <col min="12037" max="12037" width="14.7109375" style="29" customWidth="1"/>
    <col min="12038" max="12039" width="13.5703125" style="29" customWidth="1"/>
    <col min="12040" max="12040" width="12.28515625" style="29" customWidth="1"/>
    <col min="12041" max="12041" width="14.28515625" style="29" customWidth="1"/>
    <col min="12042" max="12042" width="8.5703125" style="29" customWidth="1"/>
    <col min="12043" max="12043" width="18.5703125" style="29" customWidth="1"/>
    <col min="12044" max="12044" width="9.140625" style="29"/>
    <col min="12045" max="12045" width="12.42578125" style="29" bestFit="1" customWidth="1"/>
    <col min="12046" max="12288" width="9.140625" style="29"/>
    <col min="12289" max="12289" width="2" style="29" customWidth="1"/>
    <col min="12290" max="12290" width="57.85546875" style="29" customWidth="1"/>
    <col min="12291" max="12291" width="15" style="29" customWidth="1"/>
    <col min="12292" max="12292" width="14.5703125" style="29" customWidth="1"/>
    <col min="12293" max="12293" width="14.7109375" style="29" customWidth="1"/>
    <col min="12294" max="12295" width="13.5703125" style="29" customWidth="1"/>
    <col min="12296" max="12296" width="12.28515625" style="29" customWidth="1"/>
    <col min="12297" max="12297" width="14.28515625" style="29" customWidth="1"/>
    <col min="12298" max="12298" width="8.5703125" style="29" customWidth="1"/>
    <col min="12299" max="12299" width="18.5703125" style="29" customWidth="1"/>
    <col min="12300" max="12300" width="9.140625" style="29"/>
    <col min="12301" max="12301" width="12.42578125" style="29" bestFit="1" customWidth="1"/>
    <col min="12302" max="12544" width="9.140625" style="29"/>
    <col min="12545" max="12545" width="2" style="29" customWidth="1"/>
    <col min="12546" max="12546" width="57.85546875" style="29" customWidth="1"/>
    <col min="12547" max="12547" width="15" style="29" customWidth="1"/>
    <col min="12548" max="12548" width="14.5703125" style="29" customWidth="1"/>
    <col min="12549" max="12549" width="14.7109375" style="29" customWidth="1"/>
    <col min="12550" max="12551" width="13.5703125" style="29" customWidth="1"/>
    <col min="12552" max="12552" width="12.28515625" style="29" customWidth="1"/>
    <col min="12553" max="12553" width="14.28515625" style="29" customWidth="1"/>
    <col min="12554" max="12554" width="8.5703125" style="29" customWidth="1"/>
    <col min="12555" max="12555" width="18.5703125" style="29" customWidth="1"/>
    <col min="12556" max="12556" width="9.140625" style="29"/>
    <col min="12557" max="12557" width="12.42578125" style="29" bestFit="1" customWidth="1"/>
    <col min="12558" max="12800" width="9.140625" style="29"/>
    <col min="12801" max="12801" width="2" style="29" customWidth="1"/>
    <col min="12802" max="12802" width="57.85546875" style="29" customWidth="1"/>
    <col min="12803" max="12803" width="15" style="29" customWidth="1"/>
    <col min="12804" max="12804" width="14.5703125" style="29" customWidth="1"/>
    <col min="12805" max="12805" width="14.7109375" style="29" customWidth="1"/>
    <col min="12806" max="12807" width="13.5703125" style="29" customWidth="1"/>
    <col min="12808" max="12808" width="12.28515625" style="29" customWidth="1"/>
    <col min="12809" max="12809" width="14.28515625" style="29" customWidth="1"/>
    <col min="12810" max="12810" width="8.5703125" style="29" customWidth="1"/>
    <col min="12811" max="12811" width="18.5703125" style="29" customWidth="1"/>
    <col min="12812" max="12812" width="9.140625" style="29"/>
    <col min="12813" max="12813" width="12.42578125" style="29" bestFit="1" customWidth="1"/>
    <col min="12814" max="13056" width="9.140625" style="29"/>
    <col min="13057" max="13057" width="2" style="29" customWidth="1"/>
    <col min="13058" max="13058" width="57.85546875" style="29" customWidth="1"/>
    <col min="13059" max="13059" width="15" style="29" customWidth="1"/>
    <col min="13060" max="13060" width="14.5703125" style="29" customWidth="1"/>
    <col min="13061" max="13061" width="14.7109375" style="29" customWidth="1"/>
    <col min="13062" max="13063" width="13.5703125" style="29" customWidth="1"/>
    <col min="13064" max="13064" width="12.28515625" style="29" customWidth="1"/>
    <col min="13065" max="13065" width="14.28515625" style="29" customWidth="1"/>
    <col min="13066" max="13066" width="8.5703125" style="29" customWidth="1"/>
    <col min="13067" max="13067" width="18.5703125" style="29" customWidth="1"/>
    <col min="13068" max="13068" width="9.140625" style="29"/>
    <col min="13069" max="13069" width="12.42578125" style="29" bestFit="1" customWidth="1"/>
    <col min="13070" max="13312" width="9.140625" style="29"/>
    <col min="13313" max="13313" width="2" style="29" customWidth="1"/>
    <col min="13314" max="13314" width="57.85546875" style="29" customWidth="1"/>
    <col min="13315" max="13315" width="15" style="29" customWidth="1"/>
    <col min="13316" max="13316" width="14.5703125" style="29" customWidth="1"/>
    <col min="13317" max="13317" width="14.7109375" style="29" customWidth="1"/>
    <col min="13318" max="13319" width="13.5703125" style="29" customWidth="1"/>
    <col min="13320" max="13320" width="12.28515625" style="29" customWidth="1"/>
    <col min="13321" max="13321" width="14.28515625" style="29" customWidth="1"/>
    <col min="13322" max="13322" width="8.5703125" style="29" customWidth="1"/>
    <col min="13323" max="13323" width="18.5703125" style="29" customWidth="1"/>
    <col min="13324" max="13324" width="9.140625" style="29"/>
    <col min="13325" max="13325" width="12.42578125" style="29" bestFit="1" customWidth="1"/>
    <col min="13326" max="13568" width="9.140625" style="29"/>
    <col min="13569" max="13569" width="2" style="29" customWidth="1"/>
    <col min="13570" max="13570" width="57.85546875" style="29" customWidth="1"/>
    <col min="13571" max="13571" width="15" style="29" customWidth="1"/>
    <col min="13572" max="13572" width="14.5703125" style="29" customWidth="1"/>
    <col min="13573" max="13573" width="14.7109375" style="29" customWidth="1"/>
    <col min="13574" max="13575" width="13.5703125" style="29" customWidth="1"/>
    <col min="13576" max="13576" width="12.28515625" style="29" customWidth="1"/>
    <col min="13577" max="13577" width="14.28515625" style="29" customWidth="1"/>
    <col min="13578" max="13578" width="8.5703125" style="29" customWidth="1"/>
    <col min="13579" max="13579" width="18.5703125" style="29" customWidth="1"/>
    <col min="13580" max="13580" width="9.140625" style="29"/>
    <col min="13581" max="13581" width="12.42578125" style="29" bestFit="1" customWidth="1"/>
    <col min="13582" max="13824" width="9.140625" style="29"/>
    <col min="13825" max="13825" width="2" style="29" customWidth="1"/>
    <col min="13826" max="13826" width="57.85546875" style="29" customWidth="1"/>
    <col min="13827" max="13827" width="15" style="29" customWidth="1"/>
    <col min="13828" max="13828" width="14.5703125" style="29" customWidth="1"/>
    <col min="13829" max="13829" width="14.7109375" style="29" customWidth="1"/>
    <col min="13830" max="13831" width="13.5703125" style="29" customWidth="1"/>
    <col min="13832" max="13832" width="12.28515625" style="29" customWidth="1"/>
    <col min="13833" max="13833" width="14.28515625" style="29" customWidth="1"/>
    <col min="13834" max="13834" width="8.5703125" style="29" customWidth="1"/>
    <col min="13835" max="13835" width="18.5703125" style="29" customWidth="1"/>
    <col min="13836" max="13836" width="9.140625" style="29"/>
    <col min="13837" max="13837" width="12.42578125" style="29" bestFit="1" customWidth="1"/>
    <col min="13838" max="14080" width="9.140625" style="29"/>
    <col min="14081" max="14081" width="2" style="29" customWidth="1"/>
    <col min="14082" max="14082" width="57.85546875" style="29" customWidth="1"/>
    <col min="14083" max="14083" width="15" style="29" customWidth="1"/>
    <col min="14084" max="14084" width="14.5703125" style="29" customWidth="1"/>
    <col min="14085" max="14085" width="14.7109375" style="29" customWidth="1"/>
    <col min="14086" max="14087" width="13.5703125" style="29" customWidth="1"/>
    <col min="14088" max="14088" width="12.28515625" style="29" customWidth="1"/>
    <col min="14089" max="14089" width="14.28515625" style="29" customWidth="1"/>
    <col min="14090" max="14090" width="8.5703125" style="29" customWidth="1"/>
    <col min="14091" max="14091" width="18.5703125" style="29" customWidth="1"/>
    <col min="14092" max="14092" width="9.140625" style="29"/>
    <col min="14093" max="14093" width="12.42578125" style="29" bestFit="1" customWidth="1"/>
    <col min="14094" max="14336" width="9.140625" style="29"/>
    <col min="14337" max="14337" width="2" style="29" customWidth="1"/>
    <col min="14338" max="14338" width="57.85546875" style="29" customWidth="1"/>
    <col min="14339" max="14339" width="15" style="29" customWidth="1"/>
    <col min="14340" max="14340" width="14.5703125" style="29" customWidth="1"/>
    <col min="14341" max="14341" width="14.7109375" style="29" customWidth="1"/>
    <col min="14342" max="14343" width="13.5703125" style="29" customWidth="1"/>
    <col min="14344" max="14344" width="12.28515625" style="29" customWidth="1"/>
    <col min="14345" max="14345" width="14.28515625" style="29" customWidth="1"/>
    <col min="14346" max="14346" width="8.5703125" style="29" customWidth="1"/>
    <col min="14347" max="14347" width="18.5703125" style="29" customWidth="1"/>
    <col min="14348" max="14348" width="9.140625" style="29"/>
    <col min="14349" max="14349" width="12.42578125" style="29" bestFit="1" customWidth="1"/>
    <col min="14350" max="14592" width="9.140625" style="29"/>
    <col min="14593" max="14593" width="2" style="29" customWidth="1"/>
    <col min="14594" max="14594" width="57.85546875" style="29" customWidth="1"/>
    <col min="14595" max="14595" width="15" style="29" customWidth="1"/>
    <col min="14596" max="14596" width="14.5703125" style="29" customWidth="1"/>
    <col min="14597" max="14597" width="14.7109375" style="29" customWidth="1"/>
    <col min="14598" max="14599" width="13.5703125" style="29" customWidth="1"/>
    <col min="14600" max="14600" width="12.28515625" style="29" customWidth="1"/>
    <col min="14601" max="14601" width="14.28515625" style="29" customWidth="1"/>
    <col min="14602" max="14602" width="8.5703125" style="29" customWidth="1"/>
    <col min="14603" max="14603" width="18.5703125" style="29" customWidth="1"/>
    <col min="14604" max="14604" width="9.140625" style="29"/>
    <col min="14605" max="14605" width="12.42578125" style="29" bestFit="1" customWidth="1"/>
    <col min="14606" max="14848" width="9.140625" style="29"/>
    <col min="14849" max="14849" width="2" style="29" customWidth="1"/>
    <col min="14850" max="14850" width="57.85546875" style="29" customWidth="1"/>
    <col min="14851" max="14851" width="15" style="29" customWidth="1"/>
    <col min="14852" max="14852" width="14.5703125" style="29" customWidth="1"/>
    <col min="14853" max="14853" width="14.7109375" style="29" customWidth="1"/>
    <col min="14854" max="14855" width="13.5703125" style="29" customWidth="1"/>
    <col min="14856" max="14856" width="12.28515625" style="29" customWidth="1"/>
    <col min="14857" max="14857" width="14.28515625" style="29" customWidth="1"/>
    <col min="14858" max="14858" width="8.5703125" style="29" customWidth="1"/>
    <col min="14859" max="14859" width="18.5703125" style="29" customWidth="1"/>
    <col min="14860" max="14860" width="9.140625" style="29"/>
    <col min="14861" max="14861" width="12.42578125" style="29" bestFit="1" customWidth="1"/>
    <col min="14862" max="15104" width="9.140625" style="29"/>
    <col min="15105" max="15105" width="2" style="29" customWidth="1"/>
    <col min="15106" max="15106" width="57.85546875" style="29" customWidth="1"/>
    <col min="15107" max="15107" width="15" style="29" customWidth="1"/>
    <col min="15108" max="15108" width="14.5703125" style="29" customWidth="1"/>
    <col min="15109" max="15109" width="14.7109375" style="29" customWidth="1"/>
    <col min="15110" max="15111" width="13.5703125" style="29" customWidth="1"/>
    <col min="15112" max="15112" width="12.28515625" style="29" customWidth="1"/>
    <col min="15113" max="15113" width="14.28515625" style="29" customWidth="1"/>
    <col min="15114" max="15114" width="8.5703125" style="29" customWidth="1"/>
    <col min="15115" max="15115" width="18.5703125" style="29" customWidth="1"/>
    <col min="15116" max="15116" width="9.140625" style="29"/>
    <col min="15117" max="15117" width="12.42578125" style="29" bestFit="1" customWidth="1"/>
    <col min="15118" max="15360" width="9.140625" style="29"/>
    <col min="15361" max="15361" width="2" style="29" customWidth="1"/>
    <col min="15362" max="15362" width="57.85546875" style="29" customWidth="1"/>
    <col min="15363" max="15363" width="15" style="29" customWidth="1"/>
    <col min="15364" max="15364" width="14.5703125" style="29" customWidth="1"/>
    <col min="15365" max="15365" width="14.7109375" style="29" customWidth="1"/>
    <col min="15366" max="15367" width="13.5703125" style="29" customWidth="1"/>
    <col min="15368" max="15368" width="12.28515625" style="29" customWidth="1"/>
    <col min="15369" max="15369" width="14.28515625" style="29" customWidth="1"/>
    <col min="15370" max="15370" width="8.5703125" style="29" customWidth="1"/>
    <col min="15371" max="15371" width="18.5703125" style="29" customWidth="1"/>
    <col min="15372" max="15372" width="9.140625" style="29"/>
    <col min="15373" max="15373" width="12.42578125" style="29" bestFit="1" customWidth="1"/>
    <col min="15374" max="15616" width="9.140625" style="29"/>
    <col min="15617" max="15617" width="2" style="29" customWidth="1"/>
    <col min="15618" max="15618" width="57.85546875" style="29" customWidth="1"/>
    <col min="15619" max="15619" width="15" style="29" customWidth="1"/>
    <col min="15620" max="15620" width="14.5703125" style="29" customWidth="1"/>
    <col min="15621" max="15621" width="14.7109375" style="29" customWidth="1"/>
    <col min="15622" max="15623" width="13.5703125" style="29" customWidth="1"/>
    <col min="15624" max="15624" width="12.28515625" style="29" customWidth="1"/>
    <col min="15625" max="15625" width="14.28515625" style="29" customWidth="1"/>
    <col min="15626" max="15626" width="8.5703125" style="29" customWidth="1"/>
    <col min="15627" max="15627" width="18.5703125" style="29" customWidth="1"/>
    <col min="15628" max="15628" width="9.140625" style="29"/>
    <col min="15629" max="15629" width="12.42578125" style="29" bestFit="1" customWidth="1"/>
    <col min="15630" max="15872" width="9.140625" style="29"/>
    <col min="15873" max="15873" width="2" style="29" customWidth="1"/>
    <col min="15874" max="15874" width="57.85546875" style="29" customWidth="1"/>
    <col min="15875" max="15875" width="15" style="29" customWidth="1"/>
    <col min="15876" max="15876" width="14.5703125" style="29" customWidth="1"/>
    <col min="15877" max="15877" width="14.7109375" style="29" customWidth="1"/>
    <col min="15878" max="15879" width="13.5703125" style="29" customWidth="1"/>
    <col min="15880" max="15880" width="12.28515625" style="29" customWidth="1"/>
    <col min="15881" max="15881" width="14.28515625" style="29" customWidth="1"/>
    <col min="15882" max="15882" width="8.5703125" style="29" customWidth="1"/>
    <col min="15883" max="15883" width="18.5703125" style="29" customWidth="1"/>
    <col min="15884" max="15884" width="9.140625" style="29"/>
    <col min="15885" max="15885" width="12.42578125" style="29" bestFit="1" customWidth="1"/>
    <col min="15886" max="16128" width="9.140625" style="29"/>
    <col min="16129" max="16129" width="2" style="29" customWidth="1"/>
    <col min="16130" max="16130" width="57.85546875" style="29" customWidth="1"/>
    <col min="16131" max="16131" width="15" style="29" customWidth="1"/>
    <col min="16132" max="16132" width="14.5703125" style="29" customWidth="1"/>
    <col min="16133" max="16133" width="14.7109375" style="29" customWidth="1"/>
    <col min="16134" max="16135" width="13.5703125" style="29" customWidth="1"/>
    <col min="16136" max="16136" width="12.28515625" style="29" customWidth="1"/>
    <col min="16137" max="16137" width="14.28515625" style="29" customWidth="1"/>
    <col min="16138" max="16138" width="8.5703125" style="29" customWidth="1"/>
    <col min="16139" max="16139" width="18.5703125" style="29" customWidth="1"/>
    <col min="16140" max="16140" width="9.140625" style="29"/>
    <col min="16141" max="16141" width="12.42578125" style="29" bestFit="1" customWidth="1"/>
    <col min="16142" max="16384" width="9.140625" style="29"/>
  </cols>
  <sheetData>
    <row r="1" spans="1:11" ht="21" customHeight="1" x14ac:dyDescent="0.3">
      <c r="B1" s="683" t="s">
        <v>41</v>
      </c>
      <c r="C1" s="684"/>
      <c r="D1" s="684"/>
      <c r="E1" s="684"/>
      <c r="F1" s="684"/>
      <c r="G1" s="684"/>
      <c r="H1" s="684"/>
      <c r="I1" s="684"/>
      <c r="J1" s="684"/>
      <c r="K1" s="684"/>
    </row>
    <row r="2" spans="1:11" ht="21" customHeight="1" x14ac:dyDescent="0.25">
      <c r="B2" s="30" t="s">
        <v>42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15" x14ac:dyDescent="0.25">
      <c r="B3" s="32"/>
      <c r="K3" s="33"/>
    </row>
    <row r="4" spans="1:11" x14ac:dyDescent="0.2">
      <c r="B4" s="34"/>
      <c r="C4" s="35" t="s">
        <v>43</v>
      </c>
      <c r="D4" s="36"/>
      <c r="E4" s="36"/>
      <c r="F4" s="36" t="s">
        <v>44</v>
      </c>
      <c r="G4" s="36"/>
      <c r="H4" s="36"/>
      <c r="I4" s="37"/>
      <c r="J4" s="38" t="s">
        <v>45</v>
      </c>
      <c r="K4" s="35"/>
    </row>
    <row r="5" spans="1:11" ht="12.75" customHeight="1" x14ac:dyDescent="0.2">
      <c r="B5" s="39"/>
      <c r="C5" s="40" t="s">
        <v>46</v>
      </c>
      <c r="D5" s="685" t="s">
        <v>47</v>
      </c>
      <c r="E5" s="688" t="s">
        <v>48</v>
      </c>
      <c r="F5" s="689"/>
      <c r="G5" s="41" t="s">
        <v>49</v>
      </c>
      <c r="H5" s="42" t="s">
        <v>50</v>
      </c>
      <c r="I5" s="690" t="s">
        <v>51</v>
      </c>
      <c r="J5" s="43" t="s">
        <v>52</v>
      </c>
      <c r="K5" s="44" t="s">
        <v>53</v>
      </c>
    </row>
    <row r="6" spans="1:11" ht="12.75" customHeight="1" x14ac:dyDescent="0.2">
      <c r="B6" s="45"/>
      <c r="C6" s="46"/>
      <c r="D6" s="686"/>
      <c r="E6" s="693" t="s">
        <v>54</v>
      </c>
      <c r="F6" s="693" t="s">
        <v>55</v>
      </c>
      <c r="G6" s="47"/>
      <c r="H6" s="48">
        <v>1.4999999999999999E-2</v>
      </c>
      <c r="I6" s="691"/>
      <c r="J6" s="49"/>
      <c r="K6" s="46"/>
    </row>
    <row r="7" spans="1:11" x14ac:dyDescent="0.2">
      <c r="B7" s="45"/>
      <c r="C7" s="46"/>
      <c r="D7" s="687"/>
      <c r="E7" s="694"/>
      <c r="F7" s="694"/>
      <c r="G7" s="47"/>
      <c r="H7" s="47"/>
      <c r="I7" s="692"/>
      <c r="J7" s="49"/>
      <c r="K7" s="46"/>
    </row>
    <row r="8" spans="1:11" ht="15" thickBot="1" x14ac:dyDescent="0.25">
      <c r="B8" s="50"/>
      <c r="C8" s="51" t="s">
        <v>56</v>
      </c>
      <c r="D8" s="52" t="s">
        <v>57</v>
      </c>
      <c r="E8" s="53" t="s">
        <v>58</v>
      </c>
      <c r="F8" s="53" t="s">
        <v>59</v>
      </c>
      <c r="G8" s="53" t="s">
        <v>60</v>
      </c>
      <c r="H8" s="53" t="s">
        <v>61</v>
      </c>
      <c r="I8" s="53" t="s">
        <v>62</v>
      </c>
      <c r="J8" s="53" t="s">
        <v>63</v>
      </c>
      <c r="K8" s="54"/>
    </row>
    <row r="9" spans="1:11" ht="15" x14ac:dyDescent="0.25">
      <c r="A9" s="55"/>
      <c r="B9" s="56" t="s">
        <v>64</v>
      </c>
      <c r="C9" s="57"/>
      <c r="D9" s="58"/>
      <c r="E9" s="58"/>
      <c r="F9" s="58"/>
      <c r="G9" s="59"/>
      <c r="H9" s="60"/>
      <c r="I9" s="58"/>
      <c r="J9" s="61"/>
      <c r="K9" s="46"/>
    </row>
    <row r="10" spans="1:11" ht="15" x14ac:dyDescent="0.25">
      <c r="A10" s="55"/>
      <c r="B10" s="62" t="s">
        <v>65</v>
      </c>
      <c r="C10" s="63">
        <f>SUM(D10+G10+H10+I10)</f>
        <v>23078527</v>
      </c>
      <c r="D10" s="64">
        <f t="shared" ref="D10:D17" si="0">SUM(E10+F10)</f>
        <v>11576005</v>
      </c>
      <c r="E10" s="64">
        <v>10820005</v>
      </c>
      <c r="F10" s="64">
        <v>756000</v>
      </c>
      <c r="G10" s="65">
        <f>ROUND((E10*0.34+F10*0.34),0)</f>
        <v>3935842</v>
      </c>
      <c r="H10" s="65">
        <f>ROUND((E10*0.015),0)</f>
        <v>162300</v>
      </c>
      <c r="I10" s="64">
        <v>7404380</v>
      </c>
      <c r="J10" s="66">
        <v>36.9</v>
      </c>
      <c r="K10" s="46"/>
    </row>
    <row r="11" spans="1:11" ht="15" x14ac:dyDescent="0.25">
      <c r="A11" s="55"/>
      <c r="B11" s="62" t="s">
        <v>66</v>
      </c>
      <c r="C11" s="63">
        <f t="shared" ref="C11:C17" si="1">SUM(D11+G11+H11+I11)</f>
        <v>60317124</v>
      </c>
      <c r="D11" s="64">
        <f t="shared" si="0"/>
        <v>36531346</v>
      </c>
      <c r="E11" s="64">
        <v>33161346</v>
      </c>
      <c r="F11" s="67">
        <v>3370000</v>
      </c>
      <c r="G11" s="65">
        <f t="shared" ref="G11:G17" si="2">ROUND((E11*0.34+F11*0.34),0)</f>
        <v>12420658</v>
      </c>
      <c r="H11" s="65">
        <f t="shared" ref="H11:H17" si="3">ROUND((E11*0.015),0)</f>
        <v>497420</v>
      </c>
      <c r="I11" s="64">
        <f>10867700</f>
        <v>10867700</v>
      </c>
      <c r="J11" s="66">
        <v>103.8</v>
      </c>
      <c r="K11" s="46"/>
    </row>
    <row r="12" spans="1:11" ht="15" x14ac:dyDescent="0.25">
      <c r="A12" s="55"/>
      <c r="B12" s="62" t="s">
        <v>67</v>
      </c>
      <c r="C12" s="63">
        <f t="shared" si="1"/>
        <v>30630505</v>
      </c>
      <c r="D12" s="64">
        <f t="shared" si="0"/>
        <v>16301987</v>
      </c>
      <c r="E12" s="64">
        <v>14829987</v>
      </c>
      <c r="F12" s="64">
        <v>1472000</v>
      </c>
      <c r="G12" s="65">
        <f>ROUND((E12*0.34+F12*0.34)-60941,0)</f>
        <v>5481735</v>
      </c>
      <c r="H12" s="65">
        <f t="shared" si="3"/>
        <v>222450</v>
      </c>
      <c r="I12" s="64">
        <v>8624333</v>
      </c>
      <c r="J12" s="66">
        <v>44.24</v>
      </c>
      <c r="K12" s="46"/>
    </row>
    <row r="13" spans="1:11" ht="15" x14ac:dyDescent="0.25">
      <c r="A13" s="55"/>
      <c r="B13" s="62" t="s">
        <v>68</v>
      </c>
      <c r="C13" s="63">
        <f t="shared" si="1"/>
        <v>106935282</v>
      </c>
      <c r="D13" s="64">
        <f t="shared" si="0"/>
        <v>40077034</v>
      </c>
      <c r="E13" s="64">
        <v>39737034</v>
      </c>
      <c r="F13" s="64">
        <v>340000</v>
      </c>
      <c r="G13" s="65">
        <f t="shared" si="2"/>
        <v>13626192</v>
      </c>
      <c r="H13" s="65">
        <f t="shared" si="3"/>
        <v>596056</v>
      </c>
      <c r="I13" s="64">
        <v>52636000</v>
      </c>
      <c r="J13" s="66">
        <v>145.38999999999999</v>
      </c>
      <c r="K13" s="46"/>
    </row>
    <row r="14" spans="1:11" ht="15" x14ac:dyDescent="0.25">
      <c r="A14" s="55"/>
      <c r="B14" s="62" t="s">
        <v>69</v>
      </c>
      <c r="C14" s="63">
        <f t="shared" si="1"/>
        <v>6646000</v>
      </c>
      <c r="D14" s="64">
        <f t="shared" si="0"/>
        <v>0</v>
      </c>
      <c r="E14" s="64"/>
      <c r="F14" s="64"/>
      <c r="G14" s="65"/>
      <c r="H14" s="65">
        <f t="shared" si="3"/>
        <v>0</v>
      </c>
      <c r="I14" s="64">
        <v>6646000</v>
      </c>
      <c r="J14" s="66"/>
      <c r="K14" s="46"/>
    </row>
    <row r="15" spans="1:11" ht="15" x14ac:dyDescent="0.25">
      <c r="A15" s="55"/>
      <c r="B15" s="68" t="s">
        <v>70</v>
      </c>
      <c r="C15" s="63">
        <f t="shared" si="1"/>
        <v>70283479</v>
      </c>
      <c r="D15" s="67">
        <f t="shared" si="0"/>
        <v>45922273</v>
      </c>
      <c r="E15" s="64">
        <v>32738273</v>
      </c>
      <c r="F15" s="67">
        <v>13184000</v>
      </c>
      <c r="G15" s="65">
        <f>ROUND((E15*0.34+F15*0.34)-2997390,0)</f>
        <v>12616183</v>
      </c>
      <c r="H15" s="65">
        <f t="shared" si="3"/>
        <v>491074</v>
      </c>
      <c r="I15" s="67">
        <v>11253949</v>
      </c>
      <c r="J15" s="69">
        <v>103.18</v>
      </c>
      <c r="K15" s="70"/>
    </row>
    <row r="16" spans="1:11" ht="15" x14ac:dyDescent="0.25">
      <c r="A16" s="55"/>
      <c r="B16" s="68" t="s">
        <v>71</v>
      </c>
      <c r="C16" s="63">
        <f t="shared" si="1"/>
        <v>183186696</v>
      </c>
      <c r="D16" s="67">
        <f t="shared" si="0"/>
        <v>55058062</v>
      </c>
      <c r="E16" s="64">
        <v>24007572</v>
      </c>
      <c r="F16" s="67">
        <v>31050490</v>
      </c>
      <c r="G16" s="65">
        <f>ROUND((E16*0.34+F16*0.34),0)</f>
        <v>18719741</v>
      </c>
      <c r="H16" s="65">
        <f t="shared" si="3"/>
        <v>360114</v>
      </c>
      <c r="I16" s="67">
        <v>109048779</v>
      </c>
      <c r="J16" s="69">
        <v>70</v>
      </c>
      <c r="K16" s="70"/>
    </row>
    <row r="17" spans="1:11" ht="15" x14ac:dyDescent="0.25">
      <c r="A17" s="55"/>
      <c r="B17" s="68" t="s">
        <v>72</v>
      </c>
      <c r="C17" s="63">
        <f t="shared" si="1"/>
        <v>5059048</v>
      </c>
      <c r="D17" s="67">
        <f t="shared" si="0"/>
        <v>2892545</v>
      </c>
      <c r="E17" s="64">
        <v>2002545</v>
      </c>
      <c r="F17" s="67">
        <v>890000</v>
      </c>
      <c r="G17" s="65">
        <f t="shared" si="2"/>
        <v>983465</v>
      </c>
      <c r="H17" s="65">
        <f t="shared" si="3"/>
        <v>30038</v>
      </c>
      <c r="I17" s="67">
        <v>1153000</v>
      </c>
      <c r="J17" s="69">
        <v>6</v>
      </c>
      <c r="K17" s="70"/>
    </row>
    <row r="18" spans="1:11" ht="15.75" thickBot="1" x14ac:dyDescent="0.3">
      <c r="B18" s="71" t="s">
        <v>73</v>
      </c>
      <c r="C18" s="72">
        <f>SUM(C10:C17)</f>
        <v>486136661</v>
      </c>
      <c r="D18" s="73">
        <f t="shared" ref="D18:I18" si="4">SUM(D10:D17)</f>
        <v>208359252</v>
      </c>
      <c r="E18" s="73">
        <f>SUM(E10:E17)</f>
        <v>157296762</v>
      </c>
      <c r="F18" s="73">
        <f t="shared" si="4"/>
        <v>51062490</v>
      </c>
      <c r="G18" s="74">
        <f t="shared" si="4"/>
        <v>67783816</v>
      </c>
      <c r="H18" s="74">
        <f t="shared" si="4"/>
        <v>2359452</v>
      </c>
      <c r="I18" s="74">
        <f t="shared" si="4"/>
        <v>207634141</v>
      </c>
      <c r="J18" s="75">
        <f>SUM(J10:J17)</f>
        <v>509.51</v>
      </c>
      <c r="K18" s="76"/>
    </row>
    <row r="19" spans="1:11" ht="15" thickTop="1" x14ac:dyDescent="0.2">
      <c r="B19" s="77"/>
      <c r="C19" s="78"/>
      <c r="D19" s="79"/>
      <c r="E19" s="79"/>
      <c r="F19" s="79"/>
      <c r="G19" s="80"/>
      <c r="H19" s="80"/>
      <c r="I19" s="81"/>
      <c r="J19" s="82"/>
      <c r="K19" s="83"/>
    </row>
    <row r="20" spans="1:11" ht="15" x14ac:dyDescent="0.25">
      <c r="B20" s="56" t="s">
        <v>74</v>
      </c>
      <c r="C20" s="78"/>
      <c r="D20" s="79"/>
      <c r="E20" s="79"/>
      <c r="F20" s="79"/>
      <c r="G20" s="84"/>
      <c r="H20" s="81"/>
      <c r="I20" s="79"/>
      <c r="J20" s="82"/>
      <c r="K20" s="83"/>
    </row>
    <row r="21" spans="1:11" ht="15" x14ac:dyDescent="0.25">
      <c r="B21" s="85" t="s">
        <v>75</v>
      </c>
      <c r="C21" s="86">
        <f t="shared" ref="C21:C27" si="5">SUM(D21+G21+I21)</f>
        <v>7682288</v>
      </c>
      <c r="D21" s="87">
        <f t="shared" ref="D21:D27" si="6">SUM(E21+F21)</f>
        <v>0</v>
      </c>
      <c r="E21" s="87"/>
      <c r="F21" s="87"/>
      <c r="G21" s="87"/>
      <c r="H21" s="87"/>
      <c r="I21" s="87">
        <v>7682288</v>
      </c>
      <c r="J21" s="88"/>
      <c r="K21" s="83"/>
    </row>
    <row r="22" spans="1:11" ht="15" x14ac:dyDescent="0.25">
      <c r="B22" s="85" t="s">
        <v>76</v>
      </c>
      <c r="C22" s="86">
        <f t="shared" si="5"/>
        <v>1374000</v>
      </c>
      <c r="D22" s="87">
        <f t="shared" si="6"/>
        <v>0</v>
      </c>
      <c r="E22" s="87"/>
      <c r="F22" s="87"/>
      <c r="G22" s="87"/>
      <c r="H22" s="87"/>
      <c r="I22" s="87">
        <v>1374000</v>
      </c>
      <c r="J22" s="88"/>
      <c r="K22" s="83"/>
    </row>
    <row r="23" spans="1:11" ht="15" x14ac:dyDescent="0.25">
      <c r="B23" s="85" t="s">
        <v>77</v>
      </c>
      <c r="C23" s="86">
        <f t="shared" si="5"/>
        <v>1776000</v>
      </c>
      <c r="D23" s="87">
        <f>SUM(E23+F23)</f>
        <v>0</v>
      </c>
      <c r="E23" s="87"/>
      <c r="F23" s="87"/>
      <c r="G23" s="87"/>
      <c r="H23" s="87"/>
      <c r="I23" s="87">
        <v>1776000</v>
      </c>
      <c r="J23" s="88"/>
      <c r="K23" s="83"/>
    </row>
    <row r="24" spans="1:11" ht="15" x14ac:dyDescent="0.25">
      <c r="B24" s="85" t="s">
        <v>78</v>
      </c>
      <c r="C24" s="86">
        <f t="shared" si="5"/>
        <v>623000</v>
      </c>
      <c r="D24" s="87">
        <f>SUM(E24+F24)</f>
        <v>0</v>
      </c>
      <c r="E24" s="87"/>
      <c r="F24" s="87"/>
      <c r="G24" s="87"/>
      <c r="H24" s="87"/>
      <c r="I24" s="87">
        <v>623000</v>
      </c>
      <c r="J24" s="88"/>
      <c r="K24" s="83"/>
    </row>
    <row r="25" spans="1:11" ht="15" x14ac:dyDescent="0.25">
      <c r="B25" s="85" t="s">
        <v>79</v>
      </c>
      <c r="C25" s="86">
        <f t="shared" si="5"/>
        <v>196000</v>
      </c>
      <c r="D25" s="87">
        <f>SUM(E25+F25)</f>
        <v>0</v>
      </c>
      <c r="E25" s="87"/>
      <c r="F25" s="87"/>
      <c r="G25" s="87"/>
      <c r="H25" s="87"/>
      <c r="I25" s="87">
        <v>196000</v>
      </c>
      <c r="J25" s="88"/>
      <c r="K25" s="83"/>
    </row>
    <row r="26" spans="1:11" ht="15" x14ac:dyDescent="0.25">
      <c r="B26" s="85" t="s">
        <v>80</v>
      </c>
      <c r="C26" s="86">
        <f t="shared" si="5"/>
        <v>1061000</v>
      </c>
      <c r="D26" s="87">
        <f>SUM(E26+F26)</f>
        <v>0</v>
      </c>
      <c r="E26" s="87"/>
      <c r="F26" s="87"/>
      <c r="G26" s="87"/>
      <c r="H26" s="87"/>
      <c r="I26" s="87">
        <v>1061000</v>
      </c>
      <c r="J26" s="88"/>
      <c r="K26" s="83"/>
    </row>
    <row r="27" spans="1:11" ht="15" x14ac:dyDescent="0.25">
      <c r="B27" s="85" t="s">
        <v>81</v>
      </c>
      <c r="C27" s="86">
        <f t="shared" si="5"/>
        <v>278000</v>
      </c>
      <c r="D27" s="87">
        <f t="shared" si="6"/>
        <v>0</v>
      </c>
      <c r="E27" s="87"/>
      <c r="F27" s="87"/>
      <c r="G27" s="87"/>
      <c r="H27" s="87"/>
      <c r="I27" s="87">
        <v>278000</v>
      </c>
      <c r="J27" s="88"/>
      <c r="K27" s="83"/>
    </row>
    <row r="28" spans="1:11" ht="15.75" thickBot="1" x14ac:dyDescent="0.3">
      <c r="B28" s="71" t="s">
        <v>82</v>
      </c>
      <c r="C28" s="89">
        <f>SUM(C21:C27)</f>
        <v>12990288</v>
      </c>
      <c r="D28" s="90">
        <f t="shared" ref="D28:J28" si="7">SUM(D21:D27)</f>
        <v>0</v>
      </c>
      <c r="E28" s="90">
        <f t="shared" si="7"/>
        <v>0</v>
      </c>
      <c r="F28" s="90">
        <f t="shared" si="7"/>
        <v>0</v>
      </c>
      <c r="G28" s="90">
        <f t="shared" si="7"/>
        <v>0</v>
      </c>
      <c r="H28" s="91">
        <f>SUM(H21:H27)</f>
        <v>0</v>
      </c>
      <c r="I28" s="91">
        <f t="shared" si="7"/>
        <v>12990288</v>
      </c>
      <c r="J28" s="92">
        <f t="shared" si="7"/>
        <v>0</v>
      </c>
      <c r="K28" s="76"/>
    </row>
    <row r="29" spans="1:11" ht="15.75" thickTop="1" x14ac:dyDescent="0.25">
      <c r="B29" s="93"/>
      <c r="C29" s="94"/>
      <c r="D29" s="95"/>
      <c r="E29" s="95"/>
      <c r="F29" s="95"/>
      <c r="G29" s="95"/>
      <c r="H29" s="95"/>
      <c r="I29" s="95"/>
      <c r="J29" s="96"/>
      <c r="K29" s="97"/>
    </row>
    <row r="30" spans="1:11" ht="15" x14ac:dyDescent="0.25">
      <c r="A30" s="98"/>
      <c r="B30" s="62" t="s">
        <v>83</v>
      </c>
      <c r="C30" s="99"/>
      <c r="D30" s="100"/>
      <c r="E30" s="100"/>
      <c r="F30" s="100"/>
      <c r="G30" s="100"/>
      <c r="H30" s="100"/>
      <c r="I30" s="100"/>
      <c r="J30" s="101"/>
      <c r="K30" s="83"/>
    </row>
    <row r="31" spans="1:11" ht="14.25" x14ac:dyDescent="0.2">
      <c r="A31" s="102"/>
      <c r="B31" s="103" t="s">
        <v>84</v>
      </c>
      <c r="C31" s="86">
        <f t="shared" ref="C31:C43" si="8">SUM(D31+G31+H31+I31)</f>
        <v>900000</v>
      </c>
      <c r="D31" s="87">
        <f t="shared" ref="D31:D43" si="9">SUM(E31+F31)</f>
        <v>434000</v>
      </c>
      <c r="E31" s="87">
        <v>360000</v>
      </c>
      <c r="F31" s="87">
        <v>74000</v>
      </c>
      <c r="G31" s="87">
        <v>122400</v>
      </c>
      <c r="H31" s="87">
        <v>5400</v>
      </c>
      <c r="I31" s="87">
        <v>338200</v>
      </c>
      <c r="J31" s="88">
        <v>1.25</v>
      </c>
      <c r="K31" s="104" t="s">
        <v>66</v>
      </c>
    </row>
    <row r="32" spans="1:11" ht="12.75" customHeight="1" x14ac:dyDescent="0.2">
      <c r="B32" s="103" t="s">
        <v>85</v>
      </c>
      <c r="C32" s="86">
        <f t="shared" si="8"/>
        <v>1837000</v>
      </c>
      <c r="D32" s="87">
        <f t="shared" si="9"/>
        <v>987000</v>
      </c>
      <c r="E32" s="87">
        <v>450000</v>
      </c>
      <c r="F32" s="87">
        <v>537000</v>
      </c>
      <c r="G32" s="87">
        <v>250000</v>
      </c>
      <c r="H32" s="87">
        <v>6750</v>
      </c>
      <c r="I32" s="87">
        <v>593250</v>
      </c>
      <c r="J32" s="88">
        <v>1.5</v>
      </c>
      <c r="K32" s="104" t="s">
        <v>66</v>
      </c>
    </row>
    <row r="33" spans="2:12" ht="12.75" customHeight="1" x14ac:dyDescent="0.2">
      <c r="B33" s="103" t="s">
        <v>86</v>
      </c>
      <c r="C33" s="86">
        <f t="shared" si="8"/>
        <v>1332305</v>
      </c>
      <c r="D33" s="87">
        <f t="shared" si="9"/>
        <v>350000</v>
      </c>
      <c r="E33" s="87">
        <v>0</v>
      </c>
      <c r="F33" s="87">
        <v>350000</v>
      </c>
      <c r="G33" s="87">
        <v>119000</v>
      </c>
      <c r="H33" s="87">
        <v>0</v>
      </c>
      <c r="I33" s="87">
        <v>863305</v>
      </c>
      <c r="J33" s="88">
        <v>0</v>
      </c>
      <c r="K33" s="104" t="s">
        <v>71</v>
      </c>
    </row>
    <row r="34" spans="2:12" ht="12.75" customHeight="1" x14ac:dyDescent="0.2">
      <c r="B34" s="103" t="s">
        <v>87</v>
      </c>
      <c r="C34" s="86">
        <f t="shared" si="8"/>
        <v>7492333</v>
      </c>
      <c r="D34" s="87">
        <f t="shared" si="9"/>
        <v>2811045</v>
      </c>
      <c r="E34" s="87">
        <v>0</v>
      </c>
      <c r="F34" s="87">
        <v>2811045</v>
      </c>
      <c r="G34" s="87">
        <v>955755</v>
      </c>
      <c r="H34" s="87">
        <v>0</v>
      </c>
      <c r="I34" s="87">
        <v>3725533</v>
      </c>
      <c r="J34" s="88">
        <v>0</v>
      </c>
      <c r="K34" s="104" t="s">
        <v>71</v>
      </c>
    </row>
    <row r="35" spans="2:12" ht="12.75" customHeight="1" x14ac:dyDescent="0.2">
      <c r="B35" s="105" t="s">
        <v>88</v>
      </c>
      <c r="C35" s="86">
        <f>SUM(D35+G35+H35+I35)</f>
        <v>430000</v>
      </c>
      <c r="D35" s="87">
        <f>SUM(E35+F35)</f>
        <v>0</v>
      </c>
      <c r="E35" s="87">
        <v>0</v>
      </c>
      <c r="F35" s="87">
        <v>0</v>
      </c>
      <c r="G35" s="87">
        <v>0</v>
      </c>
      <c r="H35" s="87">
        <v>0</v>
      </c>
      <c r="I35" s="87">
        <v>430000</v>
      </c>
      <c r="J35" s="88">
        <v>0</v>
      </c>
      <c r="K35" s="104" t="s">
        <v>89</v>
      </c>
    </row>
    <row r="36" spans="2:12" ht="14.25" x14ac:dyDescent="0.2">
      <c r="B36" s="103" t="s">
        <v>90</v>
      </c>
      <c r="C36" s="86">
        <f t="shared" si="8"/>
        <v>1400000</v>
      </c>
      <c r="D36" s="87">
        <f t="shared" si="9"/>
        <v>0</v>
      </c>
      <c r="E36" s="87">
        <v>0</v>
      </c>
      <c r="F36" s="87">
        <v>0</v>
      </c>
      <c r="G36" s="87">
        <v>0</v>
      </c>
      <c r="H36" s="87">
        <v>0</v>
      </c>
      <c r="I36" s="87">
        <v>1400000</v>
      </c>
      <c r="J36" s="88">
        <v>0</v>
      </c>
      <c r="K36" s="104" t="s">
        <v>91</v>
      </c>
    </row>
    <row r="37" spans="2:12" ht="14.25" x14ac:dyDescent="0.2">
      <c r="B37" s="103" t="s">
        <v>92</v>
      </c>
      <c r="C37" s="86">
        <f t="shared" si="8"/>
        <v>7651986</v>
      </c>
      <c r="D37" s="87">
        <f t="shared" si="9"/>
        <v>5647222</v>
      </c>
      <c r="E37" s="87">
        <v>5647222</v>
      </c>
      <c r="F37" s="87">
        <v>0</v>
      </c>
      <c r="G37" s="87">
        <v>1920056</v>
      </c>
      <c r="H37" s="87">
        <v>84708</v>
      </c>
      <c r="I37" s="87">
        <v>0</v>
      </c>
      <c r="J37" s="88">
        <v>16</v>
      </c>
      <c r="K37" s="104" t="s">
        <v>65</v>
      </c>
    </row>
    <row r="38" spans="2:12" ht="14.25" x14ac:dyDescent="0.2">
      <c r="B38" s="103" t="s">
        <v>93</v>
      </c>
      <c r="C38" s="86">
        <f t="shared" si="8"/>
        <v>1018035</v>
      </c>
      <c r="D38" s="87">
        <f t="shared" si="9"/>
        <v>751317</v>
      </c>
      <c r="E38" s="87">
        <v>751317</v>
      </c>
      <c r="F38" s="87">
        <v>0</v>
      </c>
      <c r="G38" s="87">
        <v>255448</v>
      </c>
      <c r="H38" s="87">
        <v>11270</v>
      </c>
      <c r="I38" s="87">
        <v>0</v>
      </c>
      <c r="J38" s="88">
        <v>1.66</v>
      </c>
      <c r="K38" s="104" t="s">
        <v>65</v>
      </c>
    </row>
    <row r="39" spans="2:12" ht="28.5" x14ac:dyDescent="0.2">
      <c r="B39" s="103" t="s">
        <v>94</v>
      </c>
      <c r="C39" s="86">
        <f t="shared" si="8"/>
        <v>300000</v>
      </c>
      <c r="D39" s="87">
        <f t="shared" si="9"/>
        <v>0</v>
      </c>
      <c r="E39" s="87">
        <v>0</v>
      </c>
      <c r="F39" s="87">
        <v>0</v>
      </c>
      <c r="G39" s="87">
        <v>0</v>
      </c>
      <c r="H39" s="87">
        <v>0</v>
      </c>
      <c r="I39" s="87">
        <v>300000</v>
      </c>
      <c r="J39" s="88">
        <v>0</v>
      </c>
      <c r="K39" s="104" t="s">
        <v>65</v>
      </c>
    </row>
    <row r="40" spans="2:12" ht="14.25" x14ac:dyDescent="0.2">
      <c r="B40" s="103" t="s">
        <v>95</v>
      </c>
      <c r="C40" s="86">
        <f t="shared" si="8"/>
        <v>824000</v>
      </c>
      <c r="D40" s="87">
        <f t="shared" si="9"/>
        <v>0</v>
      </c>
      <c r="E40" s="87">
        <v>0</v>
      </c>
      <c r="F40" s="87">
        <v>0</v>
      </c>
      <c r="G40" s="87">
        <v>0</v>
      </c>
      <c r="H40" s="87">
        <v>0</v>
      </c>
      <c r="I40" s="87">
        <v>824000</v>
      </c>
      <c r="J40" s="88">
        <v>0</v>
      </c>
      <c r="K40" s="104" t="s">
        <v>65</v>
      </c>
    </row>
    <row r="41" spans="2:12" ht="15" x14ac:dyDescent="0.25">
      <c r="B41" s="103" t="s">
        <v>96</v>
      </c>
      <c r="C41" s="86">
        <f t="shared" si="8"/>
        <v>140000</v>
      </c>
      <c r="D41" s="87">
        <f t="shared" si="9"/>
        <v>30000</v>
      </c>
      <c r="E41" s="87">
        <v>0</v>
      </c>
      <c r="F41" s="87">
        <v>30000</v>
      </c>
      <c r="G41" s="87">
        <v>0</v>
      </c>
      <c r="H41" s="87">
        <v>0</v>
      </c>
      <c r="I41" s="87">
        <v>110000</v>
      </c>
      <c r="J41" s="88">
        <v>0</v>
      </c>
      <c r="K41" s="104" t="s">
        <v>65</v>
      </c>
      <c r="L41" s="33"/>
    </row>
    <row r="42" spans="2:12" ht="29.25" x14ac:dyDescent="0.25">
      <c r="B42" s="103" t="s">
        <v>97</v>
      </c>
      <c r="C42" s="86">
        <f t="shared" si="8"/>
        <v>1251600</v>
      </c>
      <c r="D42" s="87">
        <f t="shared" si="9"/>
        <v>208000</v>
      </c>
      <c r="E42" s="87">
        <v>0</v>
      </c>
      <c r="F42" s="87">
        <v>208000</v>
      </c>
      <c r="G42" s="87">
        <v>43600</v>
      </c>
      <c r="H42" s="87">
        <v>0</v>
      </c>
      <c r="I42" s="87">
        <v>1000000</v>
      </c>
      <c r="J42" s="88">
        <v>0</v>
      </c>
      <c r="K42" s="104" t="s">
        <v>67</v>
      </c>
      <c r="L42" s="33"/>
    </row>
    <row r="43" spans="2:12" ht="15" x14ac:dyDescent="0.25">
      <c r="B43" s="105" t="s">
        <v>98</v>
      </c>
      <c r="C43" s="86">
        <f t="shared" si="8"/>
        <v>637130</v>
      </c>
      <c r="D43" s="87">
        <f t="shared" si="9"/>
        <v>538000</v>
      </c>
      <c r="E43" s="87">
        <v>0</v>
      </c>
      <c r="F43" s="87">
        <v>538000</v>
      </c>
      <c r="G43" s="87">
        <v>99130</v>
      </c>
      <c r="H43" s="87">
        <v>0</v>
      </c>
      <c r="I43" s="87">
        <v>0</v>
      </c>
      <c r="J43" s="88">
        <v>0</v>
      </c>
      <c r="K43" s="106" t="s">
        <v>99</v>
      </c>
      <c r="L43" s="33"/>
    </row>
    <row r="44" spans="2:12" ht="15.75" thickBot="1" x14ac:dyDescent="0.3">
      <c r="B44" s="107" t="s">
        <v>100</v>
      </c>
      <c r="C44" s="108">
        <f t="shared" ref="C44:J44" si="10">SUM(C31:C43)</f>
        <v>25214389</v>
      </c>
      <c r="D44" s="109">
        <f t="shared" si="10"/>
        <v>11756584</v>
      </c>
      <c r="E44" s="109">
        <f t="shared" si="10"/>
        <v>7208539</v>
      </c>
      <c r="F44" s="109">
        <f t="shared" si="10"/>
        <v>4548045</v>
      </c>
      <c r="G44" s="109">
        <f t="shared" si="10"/>
        <v>3765389</v>
      </c>
      <c r="H44" s="109">
        <f t="shared" si="10"/>
        <v>108128</v>
      </c>
      <c r="I44" s="109">
        <f t="shared" si="10"/>
        <v>9584288</v>
      </c>
      <c r="J44" s="110">
        <f t="shared" si="10"/>
        <v>20.41</v>
      </c>
      <c r="K44" s="111"/>
      <c r="L44" s="33"/>
    </row>
    <row r="45" spans="2:12" ht="14.25" x14ac:dyDescent="0.2">
      <c r="B45" s="103"/>
      <c r="C45" s="86"/>
      <c r="D45" s="87"/>
      <c r="E45" s="87"/>
      <c r="F45" s="87"/>
      <c r="G45" s="87"/>
      <c r="H45" s="87"/>
      <c r="I45" s="87"/>
      <c r="J45" s="88"/>
      <c r="K45" s="104"/>
    </row>
    <row r="46" spans="2:12" ht="15" x14ac:dyDescent="0.25">
      <c r="B46" s="112" t="s">
        <v>101</v>
      </c>
      <c r="C46" s="86"/>
      <c r="D46" s="87"/>
      <c r="E46" s="87"/>
      <c r="F46" s="87"/>
      <c r="G46" s="87"/>
      <c r="H46" s="87"/>
      <c r="I46" s="87"/>
      <c r="J46" s="88"/>
      <c r="K46" s="104"/>
    </row>
    <row r="47" spans="2:12" ht="28.5" x14ac:dyDescent="0.2">
      <c r="B47" s="103" t="s">
        <v>102</v>
      </c>
      <c r="C47" s="86">
        <f t="shared" ref="C47:C74" si="11">SUM(D47+G47+H47+I47)</f>
        <v>1650000</v>
      </c>
      <c r="D47" s="87">
        <f t="shared" ref="D47:D80" si="12">SUM(E47+F47)</f>
        <v>650000</v>
      </c>
      <c r="E47" s="87">
        <v>0</v>
      </c>
      <c r="F47" s="87">
        <v>650000</v>
      </c>
      <c r="G47" s="87">
        <v>184000</v>
      </c>
      <c r="H47" s="87">
        <v>0</v>
      </c>
      <c r="I47" s="87">
        <v>816000</v>
      </c>
      <c r="J47" s="88">
        <v>0</v>
      </c>
      <c r="K47" s="104" t="s">
        <v>103</v>
      </c>
    </row>
    <row r="48" spans="2:12" ht="28.5" x14ac:dyDescent="0.2">
      <c r="B48" s="103" t="s">
        <v>104</v>
      </c>
      <c r="C48" s="86">
        <f t="shared" si="11"/>
        <v>200000</v>
      </c>
      <c r="D48" s="87">
        <f t="shared" si="12"/>
        <v>200000</v>
      </c>
      <c r="E48" s="87">
        <v>0</v>
      </c>
      <c r="F48" s="87">
        <v>200000</v>
      </c>
      <c r="G48" s="87">
        <v>0</v>
      </c>
      <c r="H48" s="87">
        <v>0</v>
      </c>
      <c r="I48" s="87">
        <v>0</v>
      </c>
      <c r="J48" s="88">
        <v>0</v>
      </c>
      <c r="K48" s="104" t="s">
        <v>103</v>
      </c>
    </row>
    <row r="49" spans="1:11" ht="14.25" x14ac:dyDescent="0.2">
      <c r="B49" s="105" t="s">
        <v>105</v>
      </c>
      <c r="C49" s="86">
        <f t="shared" si="11"/>
        <v>200000</v>
      </c>
      <c r="D49" s="87">
        <f t="shared" si="12"/>
        <v>200000</v>
      </c>
      <c r="E49" s="87">
        <v>0</v>
      </c>
      <c r="F49" s="87">
        <v>200000</v>
      </c>
      <c r="G49" s="87">
        <v>0</v>
      </c>
      <c r="H49" s="87">
        <v>0</v>
      </c>
      <c r="I49" s="87"/>
      <c r="J49" s="88">
        <v>0</v>
      </c>
      <c r="K49" s="106" t="s">
        <v>70</v>
      </c>
    </row>
    <row r="50" spans="1:11" ht="15.75" thickBot="1" x14ac:dyDescent="0.3">
      <c r="B50" s="107" t="s">
        <v>106</v>
      </c>
      <c r="C50" s="108">
        <f>SUM(C47:C49)</f>
        <v>2050000</v>
      </c>
      <c r="D50" s="109">
        <f t="shared" ref="D50:J50" si="13">SUM(D47:D49)</f>
        <v>1050000</v>
      </c>
      <c r="E50" s="109">
        <f t="shared" si="13"/>
        <v>0</v>
      </c>
      <c r="F50" s="109">
        <f t="shared" si="13"/>
        <v>1050000</v>
      </c>
      <c r="G50" s="109">
        <f t="shared" si="13"/>
        <v>184000</v>
      </c>
      <c r="H50" s="109">
        <f t="shared" si="13"/>
        <v>0</v>
      </c>
      <c r="I50" s="109">
        <f t="shared" si="13"/>
        <v>816000</v>
      </c>
      <c r="J50" s="110">
        <f t="shared" si="13"/>
        <v>0</v>
      </c>
      <c r="K50" s="111"/>
    </row>
    <row r="51" spans="1:11" ht="14.25" x14ac:dyDescent="0.2">
      <c r="B51" s="103"/>
      <c r="C51" s="86"/>
      <c r="D51" s="87"/>
      <c r="E51" s="87"/>
      <c r="F51" s="87"/>
      <c r="G51" s="87"/>
      <c r="H51" s="87"/>
      <c r="I51" s="87"/>
      <c r="J51" s="88"/>
      <c r="K51" s="104"/>
    </row>
    <row r="52" spans="1:11" ht="15" x14ac:dyDescent="0.25">
      <c r="B52" s="112" t="s">
        <v>107</v>
      </c>
      <c r="C52" s="86"/>
      <c r="D52" s="87"/>
      <c r="E52" s="87"/>
      <c r="F52" s="87"/>
      <c r="G52" s="87"/>
      <c r="H52" s="87"/>
      <c r="I52" s="87"/>
      <c r="J52" s="88"/>
      <c r="K52" s="104"/>
    </row>
    <row r="53" spans="1:11" ht="14.25" x14ac:dyDescent="0.2">
      <c r="B53" s="103" t="s">
        <v>108</v>
      </c>
      <c r="C53" s="86">
        <f t="shared" si="11"/>
        <v>3159783</v>
      </c>
      <c r="D53" s="87">
        <f t="shared" si="12"/>
        <v>475000</v>
      </c>
      <c r="E53" s="87">
        <v>134000</v>
      </c>
      <c r="F53" s="87">
        <v>341000</v>
      </c>
      <c r="G53" s="87">
        <v>46000</v>
      </c>
      <c r="H53" s="87">
        <v>1670</v>
      </c>
      <c r="I53" s="87">
        <v>2637113</v>
      </c>
      <c r="J53" s="88">
        <v>0</v>
      </c>
      <c r="K53" s="104" t="s">
        <v>109</v>
      </c>
    </row>
    <row r="54" spans="1:11" ht="14.25" x14ac:dyDescent="0.2">
      <c r="B54" s="103" t="s">
        <v>110</v>
      </c>
      <c r="C54" s="86">
        <f t="shared" si="11"/>
        <v>7684044</v>
      </c>
      <c r="D54" s="87">
        <f t="shared" si="12"/>
        <v>0</v>
      </c>
      <c r="E54" s="87">
        <v>0</v>
      </c>
      <c r="F54" s="87">
        <v>0</v>
      </c>
      <c r="G54" s="87">
        <v>0</v>
      </c>
      <c r="H54" s="87">
        <v>0</v>
      </c>
      <c r="I54" s="87">
        <v>7684044</v>
      </c>
      <c r="J54" s="88">
        <v>0</v>
      </c>
      <c r="K54" s="104" t="s">
        <v>109</v>
      </c>
    </row>
    <row r="55" spans="1:11" ht="14.25" x14ac:dyDescent="0.2">
      <c r="B55" s="103" t="s">
        <v>111</v>
      </c>
      <c r="C55" s="86">
        <f t="shared" si="11"/>
        <v>1085000</v>
      </c>
      <c r="D55" s="87">
        <f t="shared" si="12"/>
        <v>0</v>
      </c>
      <c r="E55" s="87">
        <v>0</v>
      </c>
      <c r="F55" s="87">
        <v>0</v>
      </c>
      <c r="G55" s="87">
        <v>0</v>
      </c>
      <c r="H55" s="87">
        <v>0</v>
      </c>
      <c r="I55" s="87">
        <v>1085000</v>
      </c>
      <c r="J55" s="88">
        <v>0</v>
      </c>
      <c r="K55" s="104" t="s">
        <v>109</v>
      </c>
    </row>
    <row r="56" spans="1:11" ht="14.25" x14ac:dyDescent="0.2">
      <c r="B56" s="103" t="s">
        <v>112</v>
      </c>
      <c r="C56" s="86">
        <f t="shared" si="11"/>
        <v>300000</v>
      </c>
      <c r="D56" s="87">
        <f t="shared" si="12"/>
        <v>0</v>
      </c>
      <c r="E56" s="87">
        <v>0</v>
      </c>
      <c r="F56" s="87">
        <v>0</v>
      </c>
      <c r="G56" s="87">
        <v>0</v>
      </c>
      <c r="H56" s="87">
        <v>0</v>
      </c>
      <c r="I56" s="87">
        <v>300000</v>
      </c>
      <c r="J56" s="88">
        <v>0</v>
      </c>
      <c r="K56" s="104" t="s">
        <v>109</v>
      </c>
    </row>
    <row r="57" spans="1:11" ht="14.25" x14ac:dyDescent="0.2">
      <c r="B57" s="103" t="s">
        <v>113</v>
      </c>
      <c r="C57" s="86">
        <f t="shared" si="11"/>
        <v>3693000</v>
      </c>
      <c r="D57" s="87">
        <f t="shared" si="12"/>
        <v>0</v>
      </c>
      <c r="E57" s="87">
        <v>0</v>
      </c>
      <c r="F57" s="87">
        <v>0</v>
      </c>
      <c r="G57" s="87">
        <v>0</v>
      </c>
      <c r="H57" s="87">
        <v>0</v>
      </c>
      <c r="I57" s="87">
        <v>3693000</v>
      </c>
      <c r="J57" s="88">
        <v>0</v>
      </c>
      <c r="K57" s="104" t="s">
        <v>109</v>
      </c>
    </row>
    <row r="58" spans="1:11" ht="14.25" x14ac:dyDescent="0.2">
      <c r="B58" s="103" t="s">
        <v>114</v>
      </c>
      <c r="C58" s="86">
        <f t="shared" si="11"/>
        <v>1126000</v>
      </c>
      <c r="D58" s="87">
        <f t="shared" si="12"/>
        <v>0</v>
      </c>
      <c r="E58" s="87">
        <v>0</v>
      </c>
      <c r="F58" s="87">
        <v>0</v>
      </c>
      <c r="G58" s="87">
        <v>0</v>
      </c>
      <c r="H58" s="87">
        <v>0</v>
      </c>
      <c r="I58" s="87">
        <v>1126000</v>
      </c>
      <c r="J58" s="88">
        <v>0</v>
      </c>
      <c r="K58" s="104" t="s">
        <v>109</v>
      </c>
    </row>
    <row r="59" spans="1:11" ht="28.5" x14ac:dyDescent="0.2">
      <c r="B59" s="103" t="s">
        <v>115</v>
      </c>
      <c r="C59" s="86">
        <f t="shared" si="11"/>
        <v>235000</v>
      </c>
      <c r="D59" s="87">
        <f t="shared" si="12"/>
        <v>0</v>
      </c>
      <c r="E59" s="87">
        <v>0</v>
      </c>
      <c r="F59" s="87">
        <v>0</v>
      </c>
      <c r="G59" s="87">
        <v>0</v>
      </c>
      <c r="H59" s="87">
        <v>0</v>
      </c>
      <c r="I59" s="87">
        <v>235000</v>
      </c>
      <c r="J59" s="88">
        <v>0</v>
      </c>
      <c r="K59" s="104" t="s">
        <v>109</v>
      </c>
    </row>
    <row r="60" spans="1:11" ht="14.25" x14ac:dyDescent="0.2">
      <c r="B60" s="103" t="s">
        <v>116</v>
      </c>
      <c r="C60" s="86">
        <f t="shared" si="11"/>
        <v>3214000</v>
      </c>
      <c r="D60" s="87">
        <f t="shared" si="12"/>
        <v>0</v>
      </c>
      <c r="E60" s="87">
        <v>0</v>
      </c>
      <c r="F60" s="87">
        <v>0</v>
      </c>
      <c r="G60" s="87">
        <v>0</v>
      </c>
      <c r="H60" s="87">
        <v>0</v>
      </c>
      <c r="I60" s="87">
        <v>3214000</v>
      </c>
      <c r="J60" s="88">
        <v>0</v>
      </c>
      <c r="K60" s="104" t="s">
        <v>109</v>
      </c>
    </row>
    <row r="61" spans="1:11" ht="15.75" thickBot="1" x14ac:dyDescent="0.3">
      <c r="B61" s="107" t="s">
        <v>117</v>
      </c>
      <c r="C61" s="108">
        <f>SUM(C53:C60)</f>
        <v>20496827</v>
      </c>
      <c r="D61" s="109">
        <f t="shared" ref="D61:J61" si="14">SUM(D53:D60)</f>
        <v>475000</v>
      </c>
      <c r="E61" s="109">
        <f t="shared" si="14"/>
        <v>134000</v>
      </c>
      <c r="F61" s="109">
        <f t="shared" si="14"/>
        <v>341000</v>
      </c>
      <c r="G61" s="109">
        <f t="shared" si="14"/>
        <v>46000</v>
      </c>
      <c r="H61" s="109">
        <f t="shared" si="14"/>
        <v>1670</v>
      </c>
      <c r="I61" s="109">
        <f t="shared" si="14"/>
        <v>19974157</v>
      </c>
      <c r="J61" s="110">
        <f t="shared" si="14"/>
        <v>0</v>
      </c>
      <c r="K61" s="111"/>
    </row>
    <row r="62" spans="1:11" ht="14.25" x14ac:dyDescent="0.2">
      <c r="B62" s="103"/>
      <c r="C62" s="86"/>
      <c r="D62" s="87"/>
      <c r="E62" s="87"/>
      <c r="F62" s="87"/>
      <c r="G62" s="87"/>
      <c r="H62" s="87"/>
      <c r="I62" s="87"/>
      <c r="J62" s="88"/>
      <c r="K62" s="104"/>
    </row>
    <row r="63" spans="1:11" ht="15.75" thickBot="1" x14ac:dyDescent="0.3">
      <c r="A63" s="102"/>
      <c r="B63" s="107" t="s">
        <v>118</v>
      </c>
      <c r="C63" s="108">
        <f t="shared" si="11"/>
        <v>59988150</v>
      </c>
      <c r="D63" s="109">
        <f t="shared" si="12"/>
        <v>8665448</v>
      </c>
      <c r="E63" s="109">
        <v>620448</v>
      </c>
      <c r="F63" s="109">
        <v>8045000</v>
      </c>
      <c r="G63" s="109">
        <v>1759472</v>
      </c>
      <c r="H63" s="109">
        <v>9307</v>
      </c>
      <c r="I63" s="109">
        <f>50337123-398000-385200</f>
        <v>49553923</v>
      </c>
      <c r="J63" s="110">
        <v>2.4700000000000002</v>
      </c>
      <c r="K63" s="111"/>
    </row>
    <row r="64" spans="1:11" ht="15.75" thickBot="1" x14ac:dyDescent="0.3">
      <c r="B64" s="113" t="s">
        <v>119</v>
      </c>
      <c r="C64" s="114">
        <f t="shared" si="11"/>
        <v>14410318</v>
      </c>
      <c r="D64" s="115">
        <f t="shared" si="12"/>
        <v>9700535</v>
      </c>
      <c r="E64" s="116">
        <v>5613235</v>
      </c>
      <c r="F64" s="116">
        <v>4087300</v>
      </c>
      <c r="G64" s="117">
        <v>2326960</v>
      </c>
      <c r="H64" s="118">
        <v>56950</v>
      </c>
      <c r="I64" s="118">
        <v>2325873</v>
      </c>
      <c r="J64" s="119">
        <v>16.11</v>
      </c>
      <c r="K64" s="120" t="s">
        <v>66</v>
      </c>
    </row>
    <row r="65" spans="1:11" ht="14.25" x14ac:dyDescent="0.2">
      <c r="B65" s="103"/>
      <c r="C65" s="86"/>
      <c r="D65" s="87"/>
      <c r="E65" s="87"/>
      <c r="F65" s="87"/>
      <c r="G65" s="87"/>
      <c r="H65" s="87"/>
      <c r="I65" s="87"/>
      <c r="J65" s="88"/>
      <c r="K65" s="104"/>
    </row>
    <row r="66" spans="1:11" ht="15" x14ac:dyDescent="0.25">
      <c r="A66" s="55"/>
      <c r="B66" s="112" t="s">
        <v>120</v>
      </c>
      <c r="C66" s="86"/>
      <c r="D66" s="87"/>
      <c r="E66" s="87"/>
      <c r="F66" s="87"/>
      <c r="G66" s="87"/>
      <c r="H66" s="87"/>
      <c r="I66" s="87"/>
      <c r="J66" s="88"/>
      <c r="K66" s="104"/>
    </row>
    <row r="67" spans="1:11" ht="14.25" x14ac:dyDescent="0.2">
      <c r="A67" s="55"/>
      <c r="B67" s="103" t="s">
        <v>121</v>
      </c>
      <c r="C67" s="86">
        <f t="shared" si="11"/>
        <v>2000000</v>
      </c>
      <c r="D67" s="87">
        <f t="shared" si="12"/>
        <v>0</v>
      </c>
      <c r="E67" s="87">
        <v>0</v>
      </c>
      <c r="F67" s="87">
        <v>0</v>
      </c>
      <c r="G67" s="87">
        <v>0</v>
      </c>
      <c r="H67" s="87">
        <v>0</v>
      </c>
      <c r="I67" s="87">
        <v>2000000</v>
      </c>
      <c r="J67" s="88">
        <v>0</v>
      </c>
      <c r="K67" s="104"/>
    </row>
    <row r="68" spans="1:11" ht="14.25" x14ac:dyDescent="0.2">
      <c r="B68" s="103" t="s">
        <v>122</v>
      </c>
      <c r="C68" s="86">
        <f t="shared" si="11"/>
        <v>4000000</v>
      </c>
      <c r="D68" s="87">
        <f t="shared" si="12"/>
        <v>0</v>
      </c>
      <c r="E68" s="87">
        <v>0</v>
      </c>
      <c r="F68" s="87">
        <v>0</v>
      </c>
      <c r="G68" s="87">
        <v>0</v>
      </c>
      <c r="H68" s="87">
        <v>0</v>
      </c>
      <c r="I68" s="87">
        <v>4000000</v>
      </c>
      <c r="J68" s="88">
        <v>0</v>
      </c>
      <c r="K68" s="104"/>
    </row>
    <row r="69" spans="1:11" ht="42.75" x14ac:dyDescent="0.2">
      <c r="B69" s="103" t="s">
        <v>123</v>
      </c>
      <c r="C69" s="86">
        <f t="shared" si="11"/>
        <v>794640.15428571426</v>
      </c>
      <c r="D69" s="87">
        <f t="shared" si="12"/>
        <v>586450.15428571426</v>
      </c>
      <c r="E69" s="121">
        <v>586450.15428571426</v>
      </c>
      <c r="F69" s="87"/>
      <c r="G69" s="87">
        <v>199393</v>
      </c>
      <c r="H69" s="87"/>
      <c r="I69" s="87">
        <v>8797</v>
      </c>
      <c r="J69" s="88">
        <v>2</v>
      </c>
      <c r="K69" s="106" t="s">
        <v>124</v>
      </c>
    </row>
    <row r="70" spans="1:11" ht="14.25" x14ac:dyDescent="0.2">
      <c r="B70" s="105" t="s">
        <v>125</v>
      </c>
      <c r="C70" s="86">
        <f>SUM(D70+G70+H70+I70)</f>
        <v>897000</v>
      </c>
      <c r="D70" s="87">
        <f>SUM(E70+F70)</f>
        <v>360000</v>
      </c>
      <c r="E70" s="87">
        <v>360000</v>
      </c>
      <c r="F70" s="87"/>
      <c r="G70" s="87">
        <v>122400</v>
      </c>
      <c r="H70" s="87"/>
      <c r="I70" s="87">
        <f>409200+5400</f>
        <v>414600</v>
      </c>
      <c r="J70" s="88">
        <v>1</v>
      </c>
      <c r="K70" s="106"/>
    </row>
    <row r="71" spans="1:11" ht="28.5" x14ac:dyDescent="0.2">
      <c r="B71" s="105" t="s">
        <v>126</v>
      </c>
      <c r="C71" s="86">
        <f t="shared" si="11"/>
        <v>686502</v>
      </c>
      <c r="D71" s="87">
        <f t="shared" si="12"/>
        <v>0</v>
      </c>
      <c r="E71" s="87">
        <v>0</v>
      </c>
      <c r="F71" s="87">
        <v>0</v>
      </c>
      <c r="G71" s="87">
        <v>0</v>
      </c>
      <c r="H71" s="87">
        <v>0</v>
      </c>
      <c r="I71" s="87">
        <v>686502</v>
      </c>
      <c r="J71" s="88">
        <v>0</v>
      </c>
      <c r="K71" s="122"/>
    </row>
    <row r="72" spans="1:11" ht="28.5" x14ac:dyDescent="0.2">
      <c r="B72" s="103" t="s">
        <v>127</v>
      </c>
      <c r="C72" s="86">
        <f t="shared" si="11"/>
        <v>0</v>
      </c>
      <c r="D72" s="87">
        <f t="shared" si="12"/>
        <v>0</v>
      </c>
      <c r="E72" s="87">
        <v>0</v>
      </c>
      <c r="F72" s="87">
        <v>0</v>
      </c>
      <c r="G72" s="87">
        <v>0</v>
      </c>
      <c r="H72" s="87">
        <v>0</v>
      </c>
      <c r="I72" s="87">
        <v>0</v>
      </c>
      <c r="J72" s="88">
        <v>2</v>
      </c>
      <c r="K72" s="123"/>
    </row>
    <row r="73" spans="1:11" ht="14.25" x14ac:dyDescent="0.2">
      <c r="B73" s="103" t="s">
        <v>129</v>
      </c>
      <c r="C73" s="86">
        <f t="shared" si="11"/>
        <v>500000</v>
      </c>
      <c r="D73" s="87">
        <f t="shared" si="12"/>
        <v>0</v>
      </c>
      <c r="E73" s="87">
        <v>0</v>
      </c>
      <c r="F73" s="87">
        <v>0</v>
      </c>
      <c r="G73" s="87">
        <v>0</v>
      </c>
      <c r="H73" s="87">
        <v>0</v>
      </c>
      <c r="I73" s="87">
        <v>500000</v>
      </c>
      <c r="J73" s="88">
        <v>0</v>
      </c>
      <c r="K73" s="131"/>
    </row>
    <row r="74" spans="1:11" ht="14.25" x14ac:dyDescent="0.2">
      <c r="B74" s="103" t="s">
        <v>130</v>
      </c>
      <c r="C74" s="86">
        <f t="shared" si="11"/>
        <v>1013000</v>
      </c>
      <c r="D74" s="87">
        <f t="shared" si="12"/>
        <v>0</v>
      </c>
      <c r="E74" s="87">
        <v>0</v>
      </c>
      <c r="F74" s="87">
        <v>0</v>
      </c>
      <c r="G74" s="87">
        <v>0</v>
      </c>
      <c r="H74" s="87">
        <v>0</v>
      </c>
      <c r="I74" s="87">
        <v>1013000</v>
      </c>
      <c r="J74" s="88">
        <v>0</v>
      </c>
      <c r="K74" s="106"/>
    </row>
    <row r="75" spans="1:11" ht="14.25" x14ac:dyDescent="0.2">
      <c r="B75" s="103" t="s">
        <v>131</v>
      </c>
      <c r="C75" s="86">
        <f>SUM(D75+G75+H75+I75)</f>
        <v>3300000</v>
      </c>
      <c r="D75" s="87">
        <f t="shared" si="12"/>
        <v>0</v>
      </c>
      <c r="E75" s="87">
        <v>0</v>
      </c>
      <c r="F75" s="87">
        <v>0</v>
      </c>
      <c r="G75" s="87">
        <v>0</v>
      </c>
      <c r="H75" s="87">
        <v>0</v>
      </c>
      <c r="I75" s="87">
        <v>3300000</v>
      </c>
      <c r="J75" s="88">
        <v>0</v>
      </c>
      <c r="K75" s="132"/>
    </row>
    <row r="76" spans="1:11" ht="14.25" x14ac:dyDescent="0.2">
      <c r="B76" s="103" t="s">
        <v>132</v>
      </c>
      <c r="C76" s="86">
        <f>SUM(D76+G76+H76+I76)</f>
        <v>2000000</v>
      </c>
      <c r="D76" s="87">
        <f t="shared" si="12"/>
        <v>0</v>
      </c>
      <c r="E76" s="87">
        <v>0</v>
      </c>
      <c r="F76" s="87">
        <v>0</v>
      </c>
      <c r="G76" s="87">
        <v>0</v>
      </c>
      <c r="H76" s="87">
        <v>0</v>
      </c>
      <c r="I76" s="87">
        <v>2000000</v>
      </c>
      <c r="J76" s="88">
        <v>0</v>
      </c>
      <c r="K76" s="132"/>
    </row>
    <row r="77" spans="1:11" ht="14.25" x14ac:dyDescent="0.2">
      <c r="B77" s="103" t="s">
        <v>133</v>
      </c>
      <c r="C77" s="86">
        <f>SUM(D77+G77+H77+I77)</f>
        <v>400000</v>
      </c>
      <c r="D77" s="87">
        <f t="shared" si="12"/>
        <v>0</v>
      </c>
      <c r="E77" s="87">
        <v>0</v>
      </c>
      <c r="F77" s="87">
        <v>0</v>
      </c>
      <c r="G77" s="87">
        <v>0</v>
      </c>
      <c r="H77" s="87">
        <v>0</v>
      </c>
      <c r="I77" s="87">
        <v>400000</v>
      </c>
      <c r="J77" s="88">
        <v>0</v>
      </c>
      <c r="K77" s="123" t="s">
        <v>134</v>
      </c>
    </row>
    <row r="78" spans="1:11" ht="14.25" x14ac:dyDescent="0.2">
      <c r="A78" s="102"/>
      <c r="B78" s="133" t="s">
        <v>135</v>
      </c>
      <c r="C78" s="86">
        <f>D78+G78+H78+I78</f>
        <v>784399</v>
      </c>
      <c r="D78" s="87">
        <f t="shared" si="12"/>
        <v>0</v>
      </c>
      <c r="E78" s="87"/>
      <c r="F78" s="87"/>
      <c r="G78" s="134">
        <v>0</v>
      </c>
      <c r="H78" s="135">
        <v>0</v>
      </c>
      <c r="I78" s="87">
        <v>784399</v>
      </c>
      <c r="J78" s="136"/>
      <c r="K78" s="123"/>
    </row>
    <row r="79" spans="1:11" ht="14.25" x14ac:dyDescent="0.2">
      <c r="A79" s="102"/>
      <c r="B79" s="137" t="s">
        <v>136</v>
      </c>
      <c r="C79" s="86">
        <f>D79+G79+H79+I79</f>
        <v>28822373</v>
      </c>
      <c r="D79" s="87">
        <f t="shared" si="12"/>
        <v>7673499</v>
      </c>
      <c r="E79" s="87">
        <v>4413301</v>
      </c>
      <c r="F79" s="87">
        <v>3260198</v>
      </c>
      <c r="G79" s="134">
        <v>832224</v>
      </c>
      <c r="H79" s="135">
        <v>0</v>
      </c>
      <c r="I79" s="87">
        <v>20316650</v>
      </c>
      <c r="J79" s="88">
        <v>8.5</v>
      </c>
      <c r="K79" s="131"/>
    </row>
    <row r="80" spans="1:11" ht="14.25" x14ac:dyDescent="0.2">
      <c r="A80" s="102"/>
      <c r="B80" s="133" t="s">
        <v>120</v>
      </c>
      <c r="C80" s="86">
        <f>D80+G80+H80+I80</f>
        <v>20000000</v>
      </c>
      <c r="D80" s="87">
        <f t="shared" si="12"/>
        <v>0</v>
      </c>
      <c r="E80" s="87"/>
      <c r="F80" s="87"/>
      <c r="G80" s="134">
        <v>0</v>
      </c>
      <c r="H80" s="135">
        <v>0</v>
      </c>
      <c r="I80" s="87">
        <v>20000000</v>
      </c>
      <c r="J80" s="88"/>
      <c r="K80" s="131"/>
    </row>
    <row r="81" spans="1:15" ht="21" customHeight="1" thickBot="1" x14ac:dyDescent="0.3">
      <c r="A81" s="138"/>
      <c r="B81" s="139" t="s">
        <v>137</v>
      </c>
      <c r="C81" s="140">
        <f t="shared" ref="C81:J81" si="15">SUM(C66:C80)</f>
        <v>65197914.154285714</v>
      </c>
      <c r="D81" s="141">
        <f t="shared" si="15"/>
        <v>8619949.154285714</v>
      </c>
      <c r="E81" s="141">
        <f t="shared" si="15"/>
        <v>5359751.154285714</v>
      </c>
      <c r="F81" s="141">
        <f t="shared" si="15"/>
        <v>3260198</v>
      </c>
      <c r="G81" s="141">
        <f t="shared" si="15"/>
        <v>1154017</v>
      </c>
      <c r="H81" s="141">
        <f t="shared" si="15"/>
        <v>0</v>
      </c>
      <c r="I81" s="142">
        <f t="shared" si="15"/>
        <v>55423948</v>
      </c>
      <c r="J81" s="143">
        <f t="shared" si="15"/>
        <v>13.5</v>
      </c>
      <c r="K81" s="144"/>
    </row>
    <row r="82" spans="1:15" ht="17.25" customHeight="1" thickTop="1" thickBot="1" x14ac:dyDescent="0.3">
      <c r="A82" s="138"/>
      <c r="B82" s="145" t="s">
        <v>138</v>
      </c>
      <c r="C82" s="146">
        <f t="shared" ref="C82:J82" si="16">SUM(C18+C28+C44+C50+C61+C63+C64+C81)</f>
        <v>686484547.15428567</v>
      </c>
      <c r="D82" s="147">
        <f t="shared" si="16"/>
        <v>248626768.15428573</v>
      </c>
      <c r="E82" s="147">
        <f t="shared" si="16"/>
        <v>176232735.15428573</v>
      </c>
      <c r="F82" s="147">
        <f t="shared" si="16"/>
        <v>72394033</v>
      </c>
      <c r="G82" s="148">
        <f t="shared" si="16"/>
        <v>77019654</v>
      </c>
      <c r="H82" s="148">
        <f t="shared" si="16"/>
        <v>2535507</v>
      </c>
      <c r="I82" s="148">
        <f t="shared" si="16"/>
        <v>358302618</v>
      </c>
      <c r="J82" s="149">
        <f t="shared" si="16"/>
        <v>562</v>
      </c>
      <c r="K82" s="150"/>
    </row>
    <row r="83" spans="1:15" ht="28.5" customHeight="1" thickBot="1" x14ac:dyDescent="0.25">
      <c r="A83" s="102"/>
      <c r="B83" s="151" t="s">
        <v>139</v>
      </c>
      <c r="C83" s="152">
        <f>D83+G83+H83+I83</f>
        <v>686484547</v>
      </c>
      <c r="D83" s="153">
        <f>E83+F83</f>
        <v>248626768</v>
      </c>
      <c r="E83" s="154">
        <f t="shared" ref="E83:J83" si="17">E86-E87</f>
        <v>176232735</v>
      </c>
      <c r="F83" s="154">
        <f t="shared" si="17"/>
        <v>72394033</v>
      </c>
      <c r="G83" s="154">
        <f t="shared" si="17"/>
        <v>77019654</v>
      </c>
      <c r="H83" s="154">
        <f t="shared" si="17"/>
        <v>2535507</v>
      </c>
      <c r="I83" s="154">
        <f t="shared" si="17"/>
        <v>358302618</v>
      </c>
      <c r="J83" s="155">
        <f t="shared" si="17"/>
        <v>562</v>
      </c>
      <c r="K83" s="156"/>
    </row>
    <row r="84" spans="1:15" ht="30.75" thickBot="1" x14ac:dyDescent="0.3">
      <c r="A84" s="157"/>
      <c r="B84" s="158" t="s">
        <v>140</v>
      </c>
      <c r="C84" s="159">
        <f>SUM(C83-C82)</f>
        <v>-0.15428566932678223</v>
      </c>
      <c r="D84" s="116">
        <f>SUM(D83-D82)</f>
        <v>-0.154285728931427</v>
      </c>
      <c r="E84" s="116">
        <f t="shared" ref="E84:J84" si="18">SUM(E83-E82)</f>
        <v>-0.154285728931427</v>
      </c>
      <c r="F84" s="118">
        <f t="shared" si="18"/>
        <v>0</v>
      </c>
      <c r="G84" s="116">
        <f t="shared" si="18"/>
        <v>0</v>
      </c>
      <c r="H84" s="116">
        <f t="shared" si="18"/>
        <v>0</v>
      </c>
      <c r="I84" s="118">
        <f t="shared" si="18"/>
        <v>0</v>
      </c>
      <c r="J84" s="160">
        <f t="shared" si="18"/>
        <v>0</v>
      </c>
      <c r="K84" s="150"/>
      <c r="N84" s="169"/>
    </row>
    <row r="85" spans="1:15" ht="15" x14ac:dyDescent="0.25">
      <c r="A85" s="157"/>
      <c r="B85" s="161"/>
      <c r="C85" s="162"/>
      <c r="D85" s="162"/>
      <c r="E85" s="162"/>
      <c r="F85" s="162"/>
      <c r="G85" s="162"/>
      <c r="H85" s="162"/>
      <c r="I85" s="163"/>
      <c r="J85" s="164"/>
      <c r="K85" s="165"/>
    </row>
    <row r="86" spans="1:15" ht="14.25" x14ac:dyDescent="0.2">
      <c r="A86" s="102"/>
      <c r="B86" s="166" t="s">
        <v>141</v>
      </c>
      <c r="C86" s="167">
        <f>D86+G86+H86+I86</f>
        <v>733938547</v>
      </c>
      <c r="D86" s="167">
        <f>E86+F86</f>
        <v>257276768</v>
      </c>
      <c r="E86" s="167">
        <v>184882735</v>
      </c>
      <c r="F86" s="167">
        <v>72394033</v>
      </c>
      <c r="G86" s="167">
        <v>79960654</v>
      </c>
      <c r="H86" s="167">
        <v>2665257</v>
      </c>
      <c r="I86" s="167">
        <v>394035868</v>
      </c>
      <c r="J86" s="168">
        <v>608</v>
      </c>
      <c r="K86" s="47"/>
      <c r="L86" s="169"/>
    </row>
    <row r="87" spans="1:15" ht="14.25" x14ac:dyDescent="0.2">
      <c r="A87" s="102"/>
      <c r="B87" s="166" t="s">
        <v>142</v>
      </c>
      <c r="C87" s="167">
        <f>D87+G87+H87+I87</f>
        <v>47454000</v>
      </c>
      <c r="D87" s="167">
        <f>E87+F87</f>
        <v>8650000</v>
      </c>
      <c r="E87" s="167">
        <v>8650000</v>
      </c>
      <c r="F87" s="167">
        <v>0</v>
      </c>
      <c r="G87" s="167">
        <v>2941000</v>
      </c>
      <c r="H87" s="167">
        <v>129750</v>
      </c>
      <c r="I87" s="167">
        <f>29376500+6400000-43250</f>
        <v>35733250</v>
      </c>
      <c r="J87" s="168">
        <v>46</v>
      </c>
      <c r="K87" s="47"/>
      <c r="L87" s="169"/>
    </row>
    <row r="88" spans="1:15" ht="15" thickBot="1" x14ac:dyDescent="0.25">
      <c r="A88" s="102"/>
      <c r="B88" s="166"/>
      <c r="C88" s="167"/>
      <c r="D88" s="167"/>
      <c r="E88" s="167"/>
      <c r="F88" s="167"/>
      <c r="G88" s="167"/>
      <c r="H88" s="167"/>
      <c r="I88" s="167"/>
      <c r="J88" s="168"/>
      <c r="K88" s="47"/>
      <c r="L88" s="169"/>
    </row>
    <row r="89" spans="1:15" ht="30.75" hidden="1" thickBot="1" x14ac:dyDescent="0.3">
      <c r="A89" s="102"/>
      <c r="B89" s="170" t="s">
        <v>143</v>
      </c>
      <c r="C89" s="171" t="e">
        <f>C84-#REF!</f>
        <v>#REF!</v>
      </c>
      <c r="D89" s="172" t="e">
        <f>D84-#REF!</f>
        <v>#REF!</v>
      </c>
      <c r="E89" s="172" t="e">
        <f>E84-#REF!</f>
        <v>#REF!</v>
      </c>
      <c r="F89" s="172" t="e">
        <f>F84-#REF!</f>
        <v>#REF!</v>
      </c>
      <c r="G89" s="172" t="e">
        <f>G84-#REF!</f>
        <v>#REF!</v>
      </c>
      <c r="H89" s="172" t="e">
        <f>H84-#REF!</f>
        <v>#REF!</v>
      </c>
      <c r="I89" s="172" t="e">
        <f>I84-#REF!</f>
        <v>#REF!</v>
      </c>
      <c r="J89" s="173" t="e">
        <f>J84-#REF!</f>
        <v>#REF!</v>
      </c>
      <c r="K89" s="174" t="s">
        <v>144</v>
      </c>
    </row>
    <row r="90" spans="1:15" ht="15" x14ac:dyDescent="0.25">
      <c r="A90" s="102"/>
      <c r="B90" s="175" t="s">
        <v>145</v>
      </c>
      <c r="C90" s="176"/>
      <c r="D90" s="177"/>
      <c r="E90" s="177"/>
      <c r="F90" s="177"/>
      <c r="G90" s="177"/>
      <c r="H90" s="177"/>
      <c r="I90" s="177"/>
      <c r="J90" s="178"/>
      <c r="K90" s="179"/>
    </row>
    <row r="91" spans="1:15" ht="14.25" x14ac:dyDescent="0.2">
      <c r="A91" s="102"/>
      <c r="B91" s="103" t="s">
        <v>146</v>
      </c>
      <c r="C91" s="180">
        <f>SUM(D91+G91+H91+I91)</f>
        <v>100000</v>
      </c>
      <c r="D91" s="181">
        <f>SUM(E91+F91)</f>
        <v>100000</v>
      </c>
      <c r="E91" s="181"/>
      <c r="F91" s="181">
        <v>100000</v>
      </c>
      <c r="G91" s="181">
        <f>ROUND((E91*0.34+F91*0.34),0)-34000</f>
        <v>0</v>
      </c>
      <c r="H91" s="181">
        <f>ROUND((E91*0.015),0)</f>
        <v>0</v>
      </c>
      <c r="I91" s="181"/>
      <c r="J91" s="88"/>
      <c r="K91" s="106" t="s">
        <v>147</v>
      </c>
      <c r="L91" s="102"/>
    </row>
    <row r="92" spans="1:15" ht="14.25" x14ac:dyDescent="0.2">
      <c r="A92" s="102"/>
      <c r="B92" s="182" t="s">
        <v>148</v>
      </c>
      <c r="C92" s="183">
        <f>D92+G92+H92+I92</f>
        <v>384900</v>
      </c>
      <c r="D92" s="184">
        <f>SUM(E92+F92)</f>
        <v>39500</v>
      </c>
      <c r="E92" s="184">
        <v>0</v>
      </c>
      <c r="F92" s="184">
        <v>39500</v>
      </c>
      <c r="G92" s="184">
        <v>0</v>
      </c>
      <c r="H92" s="184">
        <v>0</v>
      </c>
      <c r="I92" s="184">
        <v>345400</v>
      </c>
      <c r="J92" s="185"/>
      <c r="K92" s="186" t="s">
        <v>147</v>
      </c>
    </row>
    <row r="93" spans="1:15" ht="28.5" x14ac:dyDescent="0.2">
      <c r="A93" s="138"/>
      <c r="B93" s="187" t="s">
        <v>127</v>
      </c>
      <c r="C93" s="125">
        <f>D93+G93+H93+I93</f>
        <v>5028118</v>
      </c>
      <c r="D93" s="188">
        <f>SUM(E93+F93)</f>
        <v>2920200</v>
      </c>
      <c r="E93" s="121">
        <v>802200</v>
      </c>
      <c r="F93" s="121">
        <f>1849200+268800</f>
        <v>2118000</v>
      </c>
      <c r="G93" s="121">
        <f>679000+90896</f>
        <v>769896</v>
      </c>
      <c r="H93" s="121">
        <f>8000+22</f>
        <v>8022</v>
      </c>
      <c r="I93" s="121">
        <f>1355000-25000</f>
        <v>1330000</v>
      </c>
      <c r="J93" s="189">
        <v>2</v>
      </c>
      <c r="K93" s="186" t="s">
        <v>149</v>
      </c>
    </row>
    <row r="94" spans="1:15" ht="14.25" x14ac:dyDescent="0.2">
      <c r="A94" s="102"/>
      <c r="B94" s="190" t="s">
        <v>150</v>
      </c>
      <c r="C94" s="180">
        <f>D94+G94+H94+I94</f>
        <v>34034030</v>
      </c>
      <c r="D94" s="191">
        <f>SUM(E94+F94)</f>
        <v>19049700</v>
      </c>
      <c r="E94" s="181">
        <v>5753200</v>
      </c>
      <c r="F94" s="181">
        <v>13296500</v>
      </c>
      <c r="G94" s="181">
        <v>6510860</v>
      </c>
      <c r="H94" s="181">
        <f>57530+28768</f>
        <v>86298</v>
      </c>
      <c r="I94" s="181">
        <f>8415940-28768</f>
        <v>8387172</v>
      </c>
      <c r="J94" s="88">
        <v>15.4</v>
      </c>
      <c r="K94" s="106" t="s">
        <v>151</v>
      </c>
      <c r="O94" s="169"/>
    </row>
    <row r="95" spans="1:15" ht="15.75" thickBot="1" x14ac:dyDescent="0.3">
      <c r="A95" s="102"/>
      <c r="B95" s="192" t="s">
        <v>152</v>
      </c>
      <c r="C95" s="193">
        <f>SUM(C91:C94)</f>
        <v>39547048</v>
      </c>
      <c r="D95" s="194">
        <f t="shared" ref="D95:J95" si="19">SUM(D91:D94)</f>
        <v>22109400</v>
      </c>
      <c r="E95" s="195">
        <f t="shared" si="19"/>
        <v>6555400</v>
      </c>
      <c r="F95" s="195">
        <f t="shared" si="19"/>
        <v>15554000</v>
      </c>
      <c r="G95" s="195">
        <f t="shared" si="19"/>
        <v>7280756</v>
      </c>
      <c r="H95" s="195">
        <f t="shared" si="19"/>
        <v>94320</v>
      </c>
      <c r="I95" s="195">
        <f t="shared" si="19"/>
        <v>10062572</v>
      </c>
      <c r="J95" s="196">
        <f t="shared" si="19"/>
        <v>17.399999999999999</v>
      </c>
      <c r="K95" s="197"/>
    </row>
    <row r="96" spans="1:15" ht="15" x14ac:dyDescent="0.25">
      <c r="A96" s="102"/>
      <c r="B96" s="62" t="s">
        <v>153</v>
      </c>
      <c r="C96" s="198"/>
      <c r="D96" s="199"/>
      <c r="E96" s="199"/>
      <c r="F96" s="199"/>
      <c r="G96" s="199"/>
      <c r="H96" s="199"/>
      <c r="I96" s="199"/>
      <c r="J96" s="200"/>
      <c r="K96" s="201"/>
      <c r="L96" s="102"/>
    </row>
    <row r="97" spans="1:12" ht="14.25" x14ac:dyDescent="0.2">
      <c r="A97" s="102"/>
      <c r="B97" s="103" t="s">
        <v>154</v>
      </c>
      <c r="C97" s="180">
        <f>SUM(D97+G97+H97+I97)</f>
        <v>6542200</v>
      </c>
      <c r="D97" s="181">
        <f>SUM(E97+F97)</f>
        <v>5965000</v>
      </c>
      <c r="E97" s="181"/>
      <c r="F97" s="181">
        <v>5965000</v>
      </c>
      <c r="G97" s="181">
        <f>ROUND((E97*0.34+F97*0.34),0)-1660900</f>
        <v>367200</v>
      </c>
      <c r="H97" s="181">
        <f>ROUND((E97*0.015),0)</f>
        <v>0</v>
      </c>
      <c r="I97" s="181">
        <v>210000</v>
      </c>
      <c r="J97" s="88"/>
      <c r="K97" s="106" t="s">
        <v>155</v>
      </c>
      <c r="L97" s="102"/>
    </row>
    <row r="98" spans="1:12" ht="27" customHeight="1" x14ac:dyDescent="0.2">
      <c r="A98" s="102"/>
      <c r="B98" s="103" t="s">
        <v>156</v>
      </c>
      <c r="C98" s="86">
        <f>SUM(D98+G98+H98+I98)</f>
        <v>750000</v>
      </c>
      <c r="D98" s="87">
        <f>SUM(E98+F98)</f>
        <v>0</v>
      </c>
      <c r="E98" s="87"/>
      <c r="F98" s="87"/>
      <c r="G98" s="87">
        <f>ROUND((E98*0.34+F98*0.34),0)</f>
        <v>0</v>
      </c>
      <c r="H98" s="87">
        <f>ROUND((E98*0.015),0)</f>
        <v>0</v>
      </c>
      <c r="I98" s="87">
        <v>750000</v>
      </c>
      <c r="J98" s="88"/>
      <c r="K98" s="106" t="s">
        <v>157</v>
      </c>
    </row>
    <row r="99" spans="1:12" ht="14.25" x14ac:dyDescent="0.2">
      <c r="A99" s="102"/>
      <c r="B99" s="103" t="s">
        <v>158</v>
      </c>
      <c r="C99" s="86">
        <f>SUM(D99+G99+H99+I99)</f>
        <v>779343</v>
      </c>
      <c r="D99" s="87">
        <f>SUM(E99+F99)</f>
        <v>427560</v>
      </c>
      <c r="E99" s="87">
        <v>427560</v>
      </c>
      <c r="F99" s="87"/>
      <c r="G99" s="87">
        <f>ROUND((E99*0.34+F99*0.34),0)</f>
        <v>145370</v>
      </c>
      <c r="H99" s="87">
        <f>ROUND((E99*0.015),0)</f>
        <v>6413</v>
      </c>
      <c r="I99" s="87">
        <v>200000</v>
      </c>
      <c r="J99" s="88">
        <v>1</v>
      </c>
      <c r="K99" s="106" t="s">
        <v>159</v>
      </c>
    </row>
    <row r="100" spans="1:12" ht="14.25" x14ac:dyDescent="0.2">
      <c r="A100" s="102"/>
      <c r="B100" s="103" t="s">
        <v>160</v>
      </c>
      <c r="C100" s="86">
        <f>SUM(D100+G100+H100+I100)</f>
        <v>200000</v>
      </c>
      <c r="D100" s="87">
        <f>SUM(E100+F100)</f>
        <v>200000</v>
      </c>
      <c r="E100" s="87"/>
      <c r="F100" s="87">
        <v>200000</v>
      </c>
      <c r="G100" s="87">
        <f>ROUND((E100*0.34+F100*0.34),0)-68000</f>
        <v>0</v>
      </c>
      <c r="H100" s="87">
        <f>ROUND((E100*0.015),0)</f>
        <v>0</v>
      </c>
      <c r="I100" s="87"/>
      <c r="J100" s="88"/>
      <c r="K100" s="106" t="s">
        <v>66</v>
      </c>
    </row>
    <row r="101" spans="1:12" ht="15.75" thickBot="1" x14ac:dyDescent="0.3">
      <c r="A101" s="102"/>
      <c r="B101" s="192" t="s">
        <v>152</v>
      </c>
      <c r="C101" s="202">
        <f t="shared" ref="C101:J101" si="20">SUM(C97:C100)</f>
        <v>8271543</v>
      </c>
      <c r="D101" s="203">
        <f t="shared" si="20"/>
        <v>6592560</v>
      </c>
      <c r="E101" s="203">
        <f t="shared" si="20"/>
        <v>427560</v>
      </c>
      <c r="F101" s="203">
        <f t="shared" si="20"/>
        <v>6165000</v>
      </c>
      <c r="G101" s="203">
        <f t="shared" si="20"/>
        <v>512570</v>
      </c>
      <c r="H101" s="203">
        <f t="shared" si="20"/>
        <v>6413</v>
      </c>
      <c r="I101" s="203">
        <f t="shared" si="20"/>
        <v>1160000</v>
      </c>
      <c r="J101" s="110">
        <f t="shared" si="20"/>
        <v>1</v>
      </c>
      <c r="K101" s="204"/>
    </row>
    <row r="102" spans="1:12" ht="15" x14ac:dyDescent="0.25">
      <c r="A102" s="102"/>
      <c r="B102" s="62" t="s">
        <v>161</v>
      </c>
      <c r="C102" s="198"/>
      <c r="D102" s="199"/>
      <c r="E102" s="199"/>
      <c r="F102" s="199"/>
      <c r="G102" s="199"/>
      <c r="H102" s="199"/>
      <c r="I102" s="199"/>
      <c r="J102" s="200"/>
      <c r="K102" s="201"/>
      <c r="L102" s="102"/>
    </row>
    <row r="103" spans="1:12" ht="14.25" x14ac:dyDescent="0.2">
      <c r="A103" s="102"/>
      <c r="B103" s="205" t="s">
        <v>162</v>
      </c>
      <c r="C103" s="180">
        <f>D103+G103+H103+I103</f>
        <v>4764000</v>
      </c>
      <c r="D103" s="191">
        <f>SUM(E103+F103)</f>
        <v>3289000</v>
      </c>
      <c r="E103" s="181"/>
      <c r="F103" s="181">
        <v>3289000</v>
      </c>
      <c r="G103" s="181">
        <v>122500</v>
      </c>
      <c r="H103" s="181"/>
      <c r="I103" s="181">
        <v>1352500</v>
      </c>
      <c r="J103" s="136"/>
      <c r="K103" s="123" t="s">
        <v>66</v>
      </c>
    </row>
    <row r="104" spans="1:12" ht="14.25" x14ac:dyDescent="0.2">
      <c r="A104" s="102"/>
      <c r="B104" s="105" t="s">
        <v>163</v>
      </c>
      <c r="C104" s="86">
        <f>SUM(D104+G104+H104+I104)</f>
        <v>700000</v>
      </c>
      <c r="D104" s="87">
        <f>SUM(E104+F104)</f>
        <v>490000</v>
      </c>
      <c r="E104" s="87"/>
      <c r="F104" s="87">
        <v>490000</v>
      </c>
      <c r="G104" s="87">
        <v>14000</v>
      </c>
      <c r="H104" s="87">
        <v>0</v>
      </c>
      <c r="I104" s="87">
        <v>196000</v>
      </c>
      <c r="J104" s="88"/>
      <c r="K104" s="106" t="s">
        <v>164</v>
      </c>
    </row>
    <row r="105" spans="1:12" ht="15.75" thickBot="1" x14ac:dyDescent="0.3">
      <c r="A105" s="102"/>
      <c r="B105" s="192" t="s">
        <v>152</v>
      </c>
      <c r="C105" s="193">
        <f t="shared" ref="C105:J105" si="21">SUM(C102:C104)</f>
        <v>5464000</v>
      </c>
      <c r="D105" s="194">
        <f t="shared" si="21"/>
        <v>3779000</v>
      </c>
      <c r="E105" s="195">
        <f t="shared" si="21"/>
        <v>0</v>
      </c>
      <c r="F105" s="195">
        <f t="shared" si="21"/>
        <v>3779000</v>
      </c>
      <c r="G105" s="195">
        <f t="shared" si="21"/>
        <v>136500</v>
      </c>
      <c r="H105" s="195">
        <f t="shared" si="21"/>
        <v>0</v>
      </c>
      <c r="I105" s="195">
        <f t="shared" si="21"/>
        <v>1548500</v>
      </c>
      <c r="J105" s="196">
        <f t="shared" si="21"/>
        <v>0</v>
      </c>
      <c r="K105" s="197"/>
    </row>
    <row r="106" spans="1:12" ht="15.75" thickBot="1" x14ac:dyDescent="0.3">
      <c r="A106" s="102"/>
      <c r="B106" s="206" t="s">
        <v>165</v>
      </c>
      <c r="C106" s="207">
        <f t="shared" ref="C106:J106" si="22">SUM(C95+C101+C105)</f>
        <v>53282591</v>
      </c>
      <c r="D106" s="208">
        <f t="shared" si="22"/>
        <v>32480960</v>
      </c>
      <c r="E106" s="208">
        <f t="shared" si="22"/>
        <v>6982960</v>
      </c>
      <c r="F106" s="208">
        <f t="shared" si="22"/>
        <v>25498000</v>
      </c>
      <c r="G106" s="208">
        <f t="shared" si="22"/>
        <v>7929826</v>
      </c>
      <c r="H106" s="208">
        <f t="shared" si="22"/>
        <v>100733</v>
      </c>
      <c r="I106" s="208">
        <f t="shared" si="22"/>
        <v>12771072</v>
      </c>
      <c r="J106" s="209">
        <f t="shared" si="22"/>
        <v>18.399999999999999</v>
      </c>
      <c r="K106" s="210"/>
    </row>
    <row r="107" spans="1:12" ht="14.25" x14ac:dyDescent="0.2">
      <c r="A107" s="102"/>
      <c r="B107" s="211"/>
      <c r="C107" s="198"/>
      <c r="D107" s="212"/>
      <c r="E107" s="213"/>
      <c r="F107" s="213"/>
      <c r="G107" s="214"/>
      <c r="H107" s="213"/>
      <c r="I107" s="213"/>
      <c r="J107" s="215"/>
      <c r="K107" s="216"/>
    </row>
    <row r="108" spans="1:12" ht="15" x14ac:dyDescent="0.25">
      <c r="A108" s="102"/>
      <c r="B108" s="217" t="s">
        <v>166</v>
      </c>
      <c r="C108" s="218"/>
      <c r="D108" s="163"/>
      <c r="E108" s="163"/>
      <c r="F108" s="163"/>
      <c r="G108" s="219"/>
      <c r="H108" s="163"/>
      <c r="I108" s="163"/>
      <c r="J108" s="220"/>
      <c r="K108" s="221"/>
    </row>
    <row r="109" spans="1:12" ht="14.25" x14ac:dyDescent="0.2">
      <c r="A109" s="102"/>
      <c r="B109" s="124" t="s">
        <v>128</v>
      </c>
      <c r="C109" s="125">
        <f>D109+G109+H109+I109</f>
        <v>928000</v>
      </c>
      <c r="D109" s="126">
        <f>SUM(E109+F109)</f>
        <v>450000</v>
      </c>
      <c r="E109" s="126"/>
      <c r="F109" s="126">
        <v>450000</v>
      </c>
      <c r="G109" s="127"/>
      <c r="H109" s="128"/>
      <c r="I109" s="126">
        <v>478000</v>
      </c>
      <c r="J109" s="129"/>
      <c r="K109" s="130" t="s">
        <v>66</v>
      </c>
    </row>
    <row r="110" spans="1:12" ht="14.25" x14ac:dyDescent="0.2">
      <c r="A110" s="102"/>
      <c r="B110" s="103" t="s">
        <v>167</v>
      </c>
      <c r="C110" s="180">
        <f>SUM(D110+G110+H110+I110)</f>
        <v>518000</v>
      </c>
      <c r="D110" s="181">
        <f>SUM(E110+F110)</f>
        <v>300000</v>
      </c>
      <c r="E110" s="181"/>
      <c r="F110" s="181">
        <v>300000</v>
      </c>
      <c r="G110" s="181">
        <f>ROUND((E110*0.34+F110*0.34),0)</f>
        <v>102000</v>
      </c>
      <c r="H110" s="181">
        <f>ROUND((E110*0.015),0)</f>
        <v>0</v>
      </c>
      <c r="I110" s="181">
        <v>116000</v>
      </c>
      <c r="J110" s="88"/>
      <c r="K110" s="106" t="s">
        <v>168</v>
      </c>
      <c r="L110" s="102"/>
    </row>
    <row r="111" spans="1:12" ht="12.75" customHeight="1" x14ac:dyDescent="0.2">
      <c r="B111" s="105" t="s">
        <v>169</v>
      </c>
      <c r="C111" s="222">
        <f>SUM(E111+F111+G111+H111+I111)</f>
        <v>136000</v>
      </c>
      <c r="D111" s="87">
        <f>SUM(E111:F111)</f>
        <v>128000</v>
      </c>
      <c r="E111" s="87"/>
      <c r="F111" s="87">
        <v>128000</v>
      </c>
      <c r="G111" s="87"/>
      <c r="H111" s="87"/>
      <c r="I111" s="87">
        <v>8000</v>
      </c>
      <c r="J111" s="88"/>
      <c r="K111" s="106" t="s">
        <v>66</v>
      </c>
    </row>
    <row r="112" spans="1:12" ht="14.25" x14ac:dyDescent="0.2">
      <c r="A112" s="102"/>
      <c r="B112" s="223" t="s">
        <v>170</v>
      </c>
      <c r="C112" s="180">
        <f>SUM(D112+G112+H112+I112)</f>
        <v>300000</v>
      </c>
      <c r="D112" s="181">
        <f>SUM(E112+F112)</f>
        <v>50000</v>
      </c>
      <c r="E112" s="87"/>
      <c r="F112" s="87">
        <v>50000</v>
      </c>
      <c r="G112" s="87"/>
      <c r="H112" s="87"/>
      <c r="I112" s="87">
        <v>250000</v>
      </c>
      <c r="J112" s="88"/>
      <c r="K112" s="106" t="s">
        <v>66</v>
      </c>
      <c r="L112" s="102"/>
    </row>
    <row r="113" spans="1:12" ht="14.25" x14ac:dyDescent="0.2">
      <c r="A113" s="102"/>
      <c r="B113" s="224" t="s">
        <v>171</v>
      </c>
      <c r="C113" s="180">
        <f>SUM(D113+G113+H113+I113)</f>
        <v>2000</v>
      </c>
      <c r="D113" s="181"/>
      <c r="E113" s="87"/>
      <c r="F113" s="87"/>
      <c r="G113" s="87"/>
      <c r="H113" s="87"/>
      <c r="I113" s="87">
        <v>2000</v>
      </c>
      <c r="J113" s="88"/>
      <c r="K113" s="106" t="s">
        <v>172</v>
      </c>
      <c r="L113" s="102"/>
    </row>
    <row r="114" spans="1:12" ht="14.25" x14ac:dyDescent="0.2">
      <c r="A114" s="102"/>
      <c r="B114" s="105" t="s">
        <v>173</v>
      </c>
      <c r="C114" s="86">
        <f>SUM(D114+G114+H114+I114)</f>
        <v>655000</v>
      </c>
      <c r="D114" s="87">
        <f>SUM(E114+F114)</f>
        <v>595000</v>
      </c>
      <c r="E114" s="87"/>
      <c r="F114" s="87">
        <v>595000</v>
      </c>
      <c r="G114" s="87">
        <f>ROUND((E114*0.34+F114*0.34),0)-202300</f>
        <v>0</v>
      </c>
      <c r="H114" s="87">
        <f>ROUND((E114*0.015),0)</f>
        <v>0</v>
      </c>
      <c r="I114" s="87">
        <v>60000</v>
      </c>
      <c r="J114" s="88"/>
      <c r="K114" s="106" t="s">
        <v>174</v>
      </c>
    </row>
    <row r="115" spans="1:12" ht="15" x14ac:dyDescent="0.25">
      <c r="A115" s="102"/>
      <c r="B115" s="225" t="s">
        <v>152</v>
      </c>
      <c r="C115" s="226">
        <f t="shared" ref="C115:J115" si="23">SUM(C108:C114)</f>
        <v>2539000</v>
      </c>
      <c r="D115" s="227">
        <f t="shared" si="23"/>
        <v>1523000</v>
      </c>
      <c r="E115" s="227">
        <f t="shared" si="23"/>
        <v>0</v>
      </c>
      <c r="F115" s="227">
        <f t="shared" si="23"/>
        <v>1523000</v>
      </c>
      <c r="G115" s="227">
        <f t="shared" si="23"/>
        <v>102000</v>
      </c>
      <c r="H115" s="227">
        <f t="shared" si="23"/>
        <v>0</v>
      </c>
      <c r="I115" s="227">
        <f t="shared" si="23"/>
        <v>914000</v>
      </c>
      <c r="J115" s="228">
        <f t="shared" si="23"/>
        <v>0</v>
      </c>
      <c r="K115" s="229"/>
    </row>
    <row r="119" spans="1:12" x14ac:dyDescent="0.2">
      <c r="E119" s="169"/>
      <c r="F119" s="169"/>
      <c r="G119" s="169"/>
      <c r="H119" s="169"/>
      <c r="I119" s="169"/>
    </row>
  </sheetData>
  <mergeCells count="6">
    <mergeCell ref="B1:K1"/>
    <mergeCell ref="D5:D7"/>
    <mergeCell ref="E5:F5"/>
    <mergeCell ref="I5:I7"/>
    <mergeCell ref="E6:E7"/>
    <mergeCell ref="F6:F7"/>
  </mergeCells>
  <printOptions horizontalCentered="1"/>
  <pageMargins left="0.70866141732283472" right="0.70866141732283472" top="0.78740157480314965" bottom="0.78740157480314965" header="0.51181102362204722" footer="0.31496062992125984"/>
  <pageSetup paperSize="9" scale="38" orientation="portrait" r:id="rId1"/>
  <headerFooter alignWithMargins="0">
    <oddHeader>&amp;RKapitola C.VI
&amp;"-,Tučné"Tabulka č. 1a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topLeftCell="A13" workbookViewId="0">
      <selection activeCell="N25" sqref="N25"/>
    </sheetView>
  </sheetViews>
  <sheetFormatPr defaultRowHeight="15" x14ac:dyDescent="0.25"/>
  <cols>
    <col min="1" max="1" width="4.7109375" customWidth="1"/>
    <col min="2" max="2" width="5.28515625" customWidth="1"/>
    <col min="3" max="3" width="90.5703125" customWidth="1"/>
    <col min="4" max="4" width="11.5703125" customWidth="1"/>
    <col min="5" max="5" width="10.7109375" customWidth="1"/>
    <col min="6" max="6" width="9.28515625" customWidth="1"/>
    <col min="7" max="7" width="11" customWidth="1"/>
    <col min="8" max="8" width="10.28515625" customWidth="1"/>
    <col min="9" max="9" width="7.28515625" customWidth="1"/>
    <col min="10" max="10" width="11" customWidth="1"/>
    <col min="11" max="11" width="8.42578125" customWidth="1"/>
    <col min="12" max="12" width="11.5703125" customWidth="1"/>
    <col min="13" max="13" width="6.28515625" customWidth="1"/>
    <col min="14" max="14" width="54.28515625" customWidth="1"/>
    <col min="15" max="15" width="9" customWidth="1"/>
    <col min="16" max="18" width="9.140625" hidden="1" customWidth="1"/>
    <col min="19" max="20" width="0" hidden="1" customWidth="1"/>
    <col min="257" max="257" width="4.7109375" customWidth="1"/>
    <col min="258" max="258" width="5.28515625" customWidth="1"/>
    <col min="259" max="259" width="90.5703125" customWidth="1"/>
    <col min="260" max="260" width="11.5703125" customWidth="1"/>
    <col min="261" max="261" width="10.7109375" customWidth="1"/>
    <col min="262" max="262" width="9.28515625" customWidth="1"/>
    <col min="263" max="263" width="11" customWidth="1"/>
    <col min="264" max="264" width="10.28515625" customWidth="1"/>
    <col min="265" max="265" width="7.28515625" customWidth="1"/>
    <col min="266" max="266" width="11" customWidth="1"/>
    <col min="267" max="267" width="8.42578125" customWidth="1"/>
    <col min="268" max="268" width="11.5703125" customWidth="1"/>
    <col min="269" max="269" width="6.28515625" customWidth="1"/>
    <col min="270" max="270" width="54.28515625" customWidth="1"/>
    <col min="271" max="271" width="9" customWidth="1"/>
    <col min="272" max="276" width="0" hidden="1" customWidth="1"/>
    <col min="513" max="513" width="4.7109375" customWidth="1"/>
    <col min="514" max="514" width="5.28515625" customWidth="1"/>
    <col min="515" max="515" width="90.5703125" customWidth="1"/>
    <col min="516" max="516" width="11.5703125" customWidth="1"/>
    <col min="517" max="517" width="10.7109375" customWidth="1"/>
    <col min="518" max="518" width="9.28515625" customWidth="1"/>
    <col min="519" max="519" width="11" customWidth="1"/>
    <col min="520" max="520" width="10.28515625" customWidth="1"/>
    <col min="521" max="521" width="7.28515625" customWidth="1"/>
    <col min="522" max="522" width="11" customWidth="1"/>
    <col min="523" max="523" width="8.42578125" customWidth="1"/>
    <col min="524" max="524" width="11.5703125" customWidth="1"/>
    <col min="525" max="525" width="6.28515625" customWidth="1"/>
    <col min="526" max="526" width="54.28515625" customWidth="1"/>
    <col min="527" max="527" width="9" customWidth="1"/>
    <col min="528" max="532" width="0" hidden="1" customWidth="1"/>
    <col min="769" max="769" width="4.7109375" customWidth="1"/>
    <col min="770" max="770" width="5.28515625" customWidth="1"/>
    <col min="771" max="771" width="90.5703125" customWidth="1"/>
    <col min="772" max="772" width="11.5703125" customWidth="1"/>
    <col min="773" max="773" width="10.7109375" customWidth="1"/>
    <col min="774" max="774" width="9.28515625" customWidth="1"/>
    <col min="775" max="775" width="11" customWidth="1"/>
    <col min="776" max="776" width="10.28515625" customWidth="1"/>
    <col min="777" max="777" width="7.28515625" customWidth="1"/>
    <col min="778" max="778" width="11" customWidth="1"/>
    <col min="779" max="779" width="8.42578125" customWidth="1"/>
    <col min="780" max="780" width="11.5703125" customWidth="1"/>
    <col min="781" max="781" width="6.28515625" customWidth="1"/>
    <col min="782" max="782" width="54.28515625" customWidth="1"/>
    <col min="783" max="783" width="9" customWidth="1"/>
    <col min="784" max="788" width="0" hidden="1" customWidth="1"/>
    <col min="1025" max="1025" width="4.7109375" customWidth="1"/>
    <col min="1026" max="1026" width="5.28515625" customWidth="1"/>
    <col min="1027" max="1027" width="90.5703125" customWidth="1"/>
    <col min="1028" max="1028" width="11.5703125" customWidth="1"/>
    <col min="1029" max="1029" width="10.7109375" customWidth="1"/>
    <col min="1030" max="1030" width="9.28515625" customWidth="1"/>
    <col min="1031" max="1031" width="11" customWidth="1"/>
    <col min="1032" max="1032" width="10.28515625" customWidth="1"/>
    <col min="1033" max="1033" width="7.28515625" customWidth="1"/>
    <col min="1034" max="1034" width="11" customWidth="1"/>
    <col min="1035" max="1035" width="8.42578125" customWidth="1"/>
    <col min="1036" max="1036" width="11.5703125" customWidth="1"/>
    <col min="1037" max="1037" width="6.28515625" customWidth="1"/>
    <col min="1038" max="1038" width="54.28515625" customWidth="1"/>
    <col min="1039" max="1039" width="9" customWidth="1"/>
    <col min="1040" max="1044" width="0" hidden="1" customWidth="1"/>
    <col min="1281" max="1281" width="4.7109375" customWidth="1"/>
    <col min="1282" max="1282" width="5.28515625" customWidth="1"/>
    <col min="1283" max="1283" width="90.5703125" customWidth="1"/>
    <col min="1284" max="1284" width="11.5703125" customWidth="1"/>
    <col min="1285" max="1285" width="10.7109375" customWidth="1"/>
    <col min="1286" max="1286" width="9.28515625" customWidth="1"/>
    <col min="1287" max="1287" width="11" customWidth="1"/>
    <col min="1288" max="1288" width="10.28515625" customWidth="1"/>
    <col min="1289" max="1289" width="7.28515625" customWidth="1"/>
    <col min="1290" max="1290" width="11" customWidth="1"/>
    <col min="1291" max="1291" width="8.42578125" customWidth="1"/>
    <col min="1292" max="1292" width="11.5703125" customWidth="1"/>
    <col min="1293" max="1293" width="6.28515625" customWidth="1"/>
    <col min="1294" max="1294" width="54.28515625" customWidth="1"/>
    <col min="1295" max="1295" width="9" customWidth="1"/>
    <col min="1296" max="1300" width="0" hidden="1" customWidth="1"/>
    <col min="1537" max="1537" width="4.7109375" customWidth="1"/>
    <col min="1538" max="1538" width="5.28515625" customWidth="1"/>
    <col min="1539" max="1539" width="90.5703125" customWidth="1"/>
    <col min="1540" max="1540" width="11.5703125" customWidth="1"/>
    <col min="1541" max="1541" width="10.7109375" customWidth="1"/>
    <col min="1542" max="1542" width="9.28515625" customWidth="1"/>
    <col min="1543" max="1543" width="11" customWidth="1"/>
    <col min="1544" max="1544" width="10.28515625" customWidth="1"/>
    <col min="1545" max="1545" width="7.28515625" customWidth="1"/>
    <col min="1546" max="1546" width="11" customWidth="1"/>
    <col min="1547" max="1547" width="8.42578125" customWidth="1"/>
    <col min="1548" max="1548" width="11.5703125" customWidth="1"/>
    <col min="1549" max="1549" width="6.28515625" customWidth="1"/>
    <col min="1550" max="1550" width="54.28515625" customWidth="1"/>
    <col min="1551" max="1551" width="9" customWidth="1"/>
    <col min="1552" max="1556" width="0" hidden="1" customWidth="1"/>
    <col min="1793" max="1793" width="4.7109375" customWidth="1"/>
    <col min="1794" max="1794" width="5.28515625" customWidth="1"/>
    <col min="1795" max="1795" width="90.5703125" customWidth="1"/>
    <col min="1796" max="1796" width="11.5703125" customWidth="1"/>
    <col min="1797" max="1797" width="10.7109375" customWidth="1"/>
    <col min="1798" max="1798" width="9.28515625" customWidth="1"/>
    <col min="1799" max="1799" width="11" customWidth="1"/>
    <col min="1800" max="1800" width="10.28515625" customWidth="1"/>
    <col min="1801" max="1801" width="7.28515625" customWidth="1"/>
    <col min="1802" max="1802" width="11" customWidth="1"/>
    <col min="1803" max="1803" width="8.42578125" customWidth="1"/>
    <col min="1804" max="1804" width="11.5703125" customWidth="1"/>
    <col min="1805" max="1805" width="6.28515625" customWidth="1"/>
    <col min="1806" max="1806" width="54.28515625" customWidth="1"/>
    <col min="1807" max="1807" width="9" customWidth="1"/>
    <col min="1808" max="1812" width="0" hidden="1" customWidth="1"/>
    <col min="2049" max="2049" width="4.7109375" customWidth="1"/>
    <col min="2050" max="2050" width="5.28515625" customWidth="1"/>
    <col min="2051" max="2051" width="90.5703125" customWidth="1"/>
    <col min="2052" max="2052" width="11.5703125" customWidth="1"/>
    <col min="2053" max="2053" width="10.7109375" customWidth="1"/>
    <col min="2054" max="2054" width="9.28515625" customWidth="1"/>
    <col min="2055" max="2055" width="11" customWidth="1"/>
    <col min="2056" max="2056" width="10.28515625" customWidth="1"/>
    <col min="2057" max="2057" width="7.28515625" customWidth="1"/>
    <col min="2058" max="2058" width="11" customWidth="1"/>
    <col min="2059" max="2059" width="8.42578125" customWidth="1"/>
    <col min="2060" max="2060" width="11.5703125" customWidth="1"/>
    <col min="2061" max="2061" width="6.28515625" customWidth="1"/>
    <col min="2062" max="2062" width="54.28515625" customWidth="1"/>
    <col min="2063" max="2063" width="9" customWidth="1"/>
    <col min="2064" max="2068" width="0" hidden="1" customWidth="1"/>
    <col min="2305" max="2305" width="4.7109375" customWidth="1"/>
    <col min="2306" max="2306" width="5.28515625" customWidth="1"/>
    <col min="2307" max="2307" width="90.5703125" customWidth="1"/>
    <col min="2308" max="2308" width="11.5703125" customWidth="1"/>
    <col min="2309" max="2309" width="10.7109375" customWidth="1"/>
    <col min="2310" max="2310" width="9.28515625" customWidth="1"/>
    <col min="2311" max="2311" width="11" customWidth="1"/>
    <col min="2312" max="2312" width="10.28515625" customWidth="1"/>
    <col min="2313" max="2313" width="7.28515625" customWidth="1"/>
    <col min="2314" max="2314" width="11" customWidth="1"/>
    <col min="2315" max="2315" width="8.42578125" customWidth="1"/>
    <col min="2316" max="2316" width="11.5703125" customWidth="1"/>
    <col min="2317" max="2317" width="6.28515625" customWidth="1"/>
    <col min="2318" max="2318" width="54.28515625" customWidth="1"/>
    <col min="2319" max="2319" width="9" customWidth="1"/>
    <col min="2320" max="2324" width="0" hidden="1" customWidth="1"/>
    <col min="2561" max="2561" width="4.7109375" customWidth="1"/>
    <col min="2562" max="2562" width="5.28515625" customWidth="1"/>
    <col min="2563" max="2563" width="90.5703125" customWidth="1"/>
    <col min="2564" max="2564" width="11.5703125" customWidth="1"/>
    <col min="2565" max="2565" width="10.7109375" customWidth="1"/>
    <col min="2566" max="2566" width="9.28515625" customWidth="1"/>
    <col min="2567" max="2567" width="11" customWidth="1"/>
    <col min="2568" max="2568" width="10.28515625" customWidth="1"/>
    <col min="2569" max="2569" width="7.28515625" customWidth="1"/>
    <col min="2570" max="2570" width="11" customWidth="1"/>
    <col min="2571" max="2571" width="8.42578125" customWidth="1"/>
    <col min="2572" max="2572" width="11.5703125" customWidth="1"/>
    <col min="2573" max="2573" width="6.28515625" customWidth="1"/>
    <col min="2574" max="2574" width="54.28515625" customWidth="1"/>
    <col min="2575" max="2575" width="9" customWidth="1"/>
    <col min="2576" max="2580" width="0" hidden="1" customWidth="1"/>
    <col min="2817" max="2817" width="4.7109375" customWidth="1"/>
    <col min="2818" max="2818" width="5.28515625" customWidth="1"/>
    <col min="2819" max="2819" width="90.5703125" customWidth="1"/>
    <col min="2820" max="2820" width="11.5703125" customWidth="1"/>
    <col min="2821" max="2821" width="10.7109375" customWidth="1"/>
    <col min="2822" max="2822" width="9.28515625" customWidth="1"/>
    <col min="2823" max="2823" width="11" customWidth="1"/>
    <col min="2824" max="2824" width="10.28515625" customWidth="1"/>
    <col min="2825" max="2825" width="7.28515625" customWidth="1"/>
    <col min="2826" max="2826" width="11" customWidth="1"/>
    <col min="2827" max="2827" width="8.42578125" customWidth="1"/>
    <col min="2828" max="2828" width="11.5703125" customWidth="1"/>
    <col min="2829" max="2829" width="6.28515625" customWidth="1"/>
    <col min="2830" max="2830" width="54.28515625" customWidth="1"/>
    <col min="2831" max="2831" width="9" customWidth="1"/>
    <col min="2832" max="2836" width="0" hidden="1" customWidth="1"/>
    <col min="3073" max="3073" width="4.7109375" customWidth="1"/>
    <col min="3074" max="3074" width="5.28515625" customWidth="1"/>
    <col min="3075" max="3075" width="90.5703125" customWidth="1"/>
    <col min="3076" max="3076" width="11.5703125" customWidth="1"/>
    <col min="3077" max="3077" width="10.7109375" customWidth="1"/>
    <col min="3078" max="3078" width="9.28515625" customWidth="1"/>
    <col min="3079" max="3079" width="11" customWidth="1"/>
    <col min="3080" max="3080" width="10.28515625" customWidth="1"/>
    <col min="3081" max="3081" width="7.28515625" customWidth="1"/>
    <col min="3082" max="3082" width="11" customWidth="1"/>
    <col min="3083" max="3083" width="8.42578125" customWidth="1"/>
    <col min="3084" max="3084" width="11.5703125" customWidth="1"/>
    <col min="3085" max="3085" width="6.28515625" customWidth="1"/>
    <col min="3086" max="3086" width="54.28515625" customWidth="1"/>
    <col min="3087" max="3087" width="9" customWidth="1"/>
    <col min="3088" max="3092" width="0" hidden="1" customWidth="1"/>
    <col min="3329" max="3329" width="4.7109375" customWidth="1"/>
    <col min="3330" max="3330" width="5.28515625" customWidth="1"/>
    <col min="3331" max="3331" width="90.5703125" customWidth="1"/>
    <col min="3332" max="3332" width="11.5703125" customWidth="1"/>
    <col min="3333" max="3333" width="10.7109375" customWidth="1"/>
    <col min="3334" max="3334" width="9.28515625" customWidth="1"/>
    <col min="3335" max="3335" width="11" customWidth="1"/>
    <col min="3336" max="3336" width="10.28515625" customWidth="1"/>
    <col min="3337" max="3337" width="7.28515625" customWidth="1"/>
    <col min="3338" max="3338" width="11" customWidth="1"/>
    <col min="3339" max="3339" width="8.42578125" customWidth="1"/>
    <col min="3340" max="3340" width="11.5703125" customWidth="1"/>
    <col min="3341" max="3341" width="6.28515625" customWidth="1"/>
    <col min="3342" max="3342" width="54.28515625" customWidth="1"/>
    <col min="3343" max="3343" width="9" customWidth="1"/>
    <col min="3344" max="3348" width="0" hidden="1" customWidth="1"/>
    <col min="3585" max="3585" width="4.7109375" customWidth="1"/>
    <col min="3586" max="3586" width="5.28515625" customWidth="1"/>
    <col min="3587" max="3587" width="90.5703125" customWidth="1"/>
    <col min="3588" max="3588" width="11.5703125" customWidth="1"/>
    <col min="3589" max="3589" width="10.7109375" customWidth="1"/>
    <col min="3590" max="3590" width="9.28515625" customWidth="1"/>
    <col min="3591" max="3591" width="11" customWidth="1"/>
    <col min="3592" max="3592" width="10.28515625" customWidth="1"/>
    <col min="3593" max="3593" width="7.28515625" customWidth="1"/>
    <col min="3594" max="3594" width="11" customWidth="1"/>
    <col min="3595" max="3595" width="8.42578125" customWidth="1"/>
    <col min="3596" max="3596" width="11.5703125" customWidth="1"/>
    <col min="3597" max="3597" width="6.28515625" customWidth="1"/>
    <col min="3598" max="3598" width="54.28515625" customWidth="1"/>
    <col min="3599" max="3599" width="9" customWidth="1"/>
    <col min="3600" max="3604" width="0" hidden="1" customWidth="1"/>
    <col min="3841" max="3841" width="4.7109375" customWidth="1"/>
    <col min="3842" max="3842" width="5.28515625" customWidth="1"/>
    <col min="3843" max="3843" width="90.5703125" customWidth="1"/>
    <col min="3844" max="3844" width="11.5703125" customWidth="1"/>
    <col min="3845" max="3845" width="10.7109375" customWidth="1"/>
    <col min="3846" max="3846" width="9.28515625" customWidth="1"/>
    <col min="3847" max="3847" width="11" customWidth="1"/>
    <col min="3848" max="3848" width="10.28515625" customWidth="1"/>
    <col min="3849" max="3849" width="7.28515625" customWidth="1"/>
    <col min="3850" max="3850" width="11" customWidth="1"/>
    <col min="3851" max="3851" width="8.42578125" customWidth="1"/>
    <col min="3852" max="3852" width="11.5703125" customWidth="1"/>
    <col min="3853" max="3853" width="6.28515625" customWidth="1"/>
    <col min="3854" max="3854" width="54.28515625" customWidth="1"/>
    <col min="3855" max="3855" width="9" customWidth="1"/>
    <col min="3856" max="3860" width="0" hidden="1" customWidth="1"/>
    <col min="4097" max="4097" width="4.7109375" customWidth="1"/>
    <col min="4098" max="4098" width="5.28515625" customWidth="1"/>
    <col min="4099" max="4099" width="90.5703125" customWidth="1"/>
    <col min="4100" max="4100" width="11.5703125" customWidth="1"/>
    <col min="4101" max="4101" width="10.7109375" customWidth="1"/>
    <col min="4102" max="4102" width="9.28515625" customWidth="1"/>
    <col min="4103" max="4103" width="11" customWidth="1"/>
    <col min="4104" max="4104" width="10.28515625" customWidth="1"/>
    <col min="4105" max="4105" width="7.28515625" customWidth="1"/>
    <col min="4106" max="4106" width="11" customWidth="1"/>
    <col min="4107" max="4107" width="8.42578125" customWidth="1"/>
    <col min="4108" max="4108" width="11.5703125" customWidth="1"/>
    <col min="4109" max="4109" width="6.28515625" customWidth="1"/>
    <col min="4110" max="4110" width="54.28515625" customWidth="1"/>
    <col min="4111" max="4111" width="9" customWidth="1"/>
    <col min="4112" max="4116" width="0" hidden="1" customWidth="1"/>
    <col min="4353" max="4353" width="4.7109375" customWidth="1"/>
    <col min="4354" max="4354" width="5.28515625" customWidth="1"/>
    <col min="4355" max="4355" width="90.5703125" customWidth="1"/>
    <col min="4356" max="4356" width="11.5703125" customWidth="1"/>
    <col min="4357" max="4357" width="10.7109375" customWidth="1"/>
    <col min="4358" max="4358" width="9.28515625" customWidth="1"/>
    <col min="4359" max="4359" width="11" customWidth="1"/>
    <col min="4360" max="4360" width="10.28515625" customWidth="1"/>
    <col min="4361" max="4361" width="7.28515625" customWidth="1"/>
    <col min="4362" max="4362" width="11" customWidth="1"/>
    <col min="4363" max="4363" width="8.42578125" customWidth="1"/>
    <col min="4364" max="4364" width="11.5703125" customWidth="1"/>
    <col min="4365" max="4365" width="6.28515625" customWidth="1"/>
    <col min="4366" max="4366" width="54.28515625" customWidth="1"/>
    <col min="4367" max="4367" width="9" customWidth="1"/>
    <col min="4368" max="4372" width="0" hidden="1" customWidth="1"/>
    <col min="4609" max="4609" width="4.7109375" customWidth="1"/>
    <col min="4610" max="4610" width="5.28515625" customWidth="1"/>
    <col min="4611" max="4611" width="90.5703125" customWidth="1"/>
    <col min="4612" max="4612" width="11.5703125" customWidth="1"/>
    <col min="4613" max="4613" width="10.7109375" customWidth="1"/>
    <col min="4614" max="4614" width="9.28515625" customWidth="1"/>
    <col min="4615" max="4615" width="11" customWidth="1"/>
    <col min="4616" max="4616" width="10.28515625" customWidth="1"/>
    <col min="4617" max="4617" width="7.28515625" customWidth="1"/>
    <col min="4618" max="4618" width="11" customWidth="1"/>
    <col min="4619" max="4619" width="8.42578125" customWidth="1"/>
    <col min="4620" max="4620" width="11.5703125" customWidth="1"/>
    <col min="4621" max="4621" width="6.28515625" customWidth="1"/>
    <col min="4622" max="4622" width="54.28515625" customWidth="1"/>
    <col min="4623" max="4623" width="9" customWidth="1"/>
    <col min="4624" max="4628" width="0" hidden="1" customWidth="1"/>
    <col min="4865" max="4865" width="4.7109375" customWidth="1"/>
    <col min="4866" max="4866" width="5.28515625" customWidth="1"/>
    <col min="4867" max="4867" width="90.5703125" customWidth="1"/>
    <col min="4868" max="4868" width="11.5703125" customWidth="1"/>
    <col min="4869" max="4869" width="10.7109375" customWidth="1"/>
    <col min="4870" max="4870" width="9.28515625" customWidth="1"/>
    <col min="4871" max="4871" width="11" customWidth="1"/>
    <col min="4872" max="4872" width="10.28515625" customWidth="1"/>
    <col min="4873" max="4873" width="7.28515625" customWidth="1"/>
    <col min="4874" max="4874" width="11" customWidth="1"/>
    <col min="4875" max="4875" width="8.42578125" customWidth="1"/>
    <col min="4876" max="4876" width="11.5703125" customWidth="1"/>
    <col min="4877" max="4877" width="6.28515625" customWidth="1"/>
    <col min="4878" max="4878" width="54.28515625" customWidth="1"/>
    <col min="4879" max="4879" width="9" customWidth="1"/>
    <col min="4880" max="4884" width="0" hidden="1" customWidth="1"/>
    <col min="5121" max="5121" width="4.7109375" customWidth="1"/>
    <col min="5122" max="5122" width="5.28515625" customWidth="1"/>
    <col min="5123" max="5123" width="90.5703125" customWidth="1"/>
    <col min="5124" max="5124" width="11.5703125" customWidth="1"/>
    <col min="5125" max="5125" width="10.7109375" customWidth="1"/>
    <col min="5126" max="5126" width="9.28515625" customWidth="1"/>
    <col min="5127" max="5127" width="11" customWidth="1"/>
    <col min="5128" max="5128" width="10.28515625" customWidth="1"/>
    <col min="5129" max="5129" width="7.28515625" customWidth="1"/>
    <col min="5130" max="5130" width="11" customWidth="1"/>
    <col min="5131" max="5131" width="8.42578125" customWidth="1"/>
    <col min="5132" max="5132" width="11.5703125" customWidth="1"/>
    <col min="5133" max="5133" width="6.28515625" customWidth="1"/>
    <col min="5134" max="5134" width="54.28515625" customWidth="1"/>
    <col min="5135" max="5135" width="9" customWidth="1"/>
    <col min="5136" max="5140" width="0" hidden="1" customWidth="1"/>
    <col min="5377" max="5377" width="4.7109375" customWidth="1"/>
    <col min="5378" max="5378" width="5.28515625" customWidth="1"/>
    <col min="5379" max="5379" width="90.5703125" customWidth="1"/>
    <col min="5380" max="5380" width="11.5703125" customWidth="1"/>
    <col min="5381" max="5381" width="10.7109375" customWidth="1"/>
    <col min="5382" max="5382" width="9.28515625" customWidth="1"/>
    <col min="5383" max="5383" width="11" customWidth="1"/>
    <col min="5384" max="5384" width="10.28515625" customWidth="1"/>
    <col min="5385" max="5385" width="7.28515625" customWidth="1"/>
    <col min="5386" max="5386" width="11" customWidth="1"/>
    <col min="5387" max="5387" width="8.42578125" customWidth="1"/>
    <col min="5388" max="5388" width="11.5703125" customWidth="1"/>
    <col min="5389" max="5389" width="6.28515625" customWidth="1"/>
    <col min="5390" max="5390" width="54.28515625" customWidth="1"/>
    <col min="5391" max="5391" width="9" customWidth="1"/>
    <col min="5392" max="5396" width="0" hidden="1" customWidth="1"/>
    <col min="5633" max="5633" width="4.7109375" customWidth="1"/>
    <col min="5634" max="5634" width="5.28515625" customWidth="1"/>
    <col min="5635" max="5635" width="90.5703125" customWidth="1"/>
    <col min="5636" max="5636" width="11.5703125" customWidth="1"/>
    <col min="5637" max="5637" width="10.7109375" customWidth="1"/>
    <col min="5638" max="5638" width="9.28515625" customWidth="1"/>
    <col min="5639" max="5639" width="11" customWidth="1"/>
    <col min="5640" max="5640" width="10.28515625" customWidth="1"/>
    <col min="5641" max="5641" width="7.28515625" customWidth="1"/>
    <col min="5642" max="5642" width="11" customWidth="1"/>
    <col min="5643" max="5643" width="8.42578125" customWidth="1"/>
    <col min="5644" max="5644" width="11.5703125" customWidth="1"/>
    <col min="5645" max="5645" width="6.28515625" customWidth="1"/>
    <col min="5646" max="5646" width="54.28515625" customWidth="1"/>
    <col min="5647" max="5647" width="9" customWidth="1"/>
    <col min="5648" max="5652" width="0" hidden="1" customWidth="1"/>
    <col min="5889" max="5889" width="4.7109375" customWidth="1"/>
    <col min="5890" max="5890" width="5.28515625" customWidth="1"/>
    <col min="5891" max="5891" width="90.5703125" customWidth="1"/>
    <col min="5892" max="5892" width="11.5703125" customWidth="1"/>
    <col min="5893" max="5893" width="10.7109375" customWidth="1"/>
    <col min="5894" max="5894" width="9.28515625" customWidth="1"/>
    <col min="5895" max="5895" width="11" customWidth="1"/>
    <col min="5896" max="5896" width="10.28515625" customWidth="1"/>
    <col min="5897" max="5897" width="7.28515625" customWidth="1"/>
    <col min="5898" max="5898" width="11" customWidth="1"/>
    <col min="5899" max="5899" width="8.42578125" customWidth="1"/>
    <col min="5900" max="5900" width="11.5703125" customWidth="1"/>
    <col min="5901" max="5901" width="6.28515625" customWidth="1"/>
    <col min="5902" max="5902" width="54.28515625" customWidth="1"/>
    <col min="5903" max="5903" width="9" customWidth="1"/>
    <col min="5904" max="5908" width="0" hidden="1" customWidth="1"/>
    <col min="6145" max="6145" width="4.7109375" customWidth="1"/>
    <col min="6146" max="6146" width="5.28515625" customWidth="1"/>
    <col min="6147" max="6147" width="90.5703125" customWidth="1"/>
    <col min="6148" max="6148" width="11.5703125" customWidth="1"/>
    <col min="6149" max="6149" width="10.7109375" customWidth="1"/>
    <col min="6150" max="6150" width="9.28515625" customWidth="1"/>
    <col min="6151" max="6151" width="11" customWidth="1"/>
    <col min="6152" max="6152" width="10.28515625" customWidth="1"/>
    <col min="6153" max="6153" width="7.28515625" customWidth="1"/>
    <col min="6154" max="6154" width="11" customWidth="1"/>
    <col min="6155" max="6155" width="8.42578125" customWidth="1"/>
    <col min="6156" max="6156" width="11.5703125" customWidth="1"/>
    <col min="6157" max="6157" width="6.28515625" customWidth="1"/>
    <col min="6158" max="6158" width="54.28515625" customWidth="1"/>
    <col min="6159" max="6159" width="9" customWidth="1"/>
    <col min="6160" max="6164" width="0" hidden="1" customWidth="1"/>
    <col min="6401" max="6401" width="4.7109375" customWidth="1"/>
    <col min="6402" max="6402" width="5.28515625" customWidth="1"/>
    <col min="6403" max="6403" width="90.5703125" customWidth="1"/>
    <col min="6404" max="6404" width="11.5703125" customWidth="1"/>
    <col min="6405" max="6405" width="10.7109375" customWidth="1"/>
    <col min="6406" max="6406" width="9.28515625" customWidth="1"/>
    <col min="6407" max="6407" width="11" customWidth="1"/>
    <col min="6408" max="6408" width="10.28515625" customWidth="1"/>
    <col min="6409" max="6409" width="7.28515625" customWidth="1"/>
    <col min="6410" max="6410" width="11" customWidth="1"/>
    <col min="6411" max="6411" width="8.42578125" customWidth="1"/>
    <col min="6412" max="6412" width="11.5703125" customWidth="1"/>
    <col min="6413" max="6413" width="6.28515625" customWidth="1"/>
    <col min="6414" max="6414" width="54.28515625" customWidth="1"/>
    <col min="6415" max="6415" width="9" customWidth="1"/>
    <col min="6416" max="6420" width="0" hidden="1" customWidth="1"/>
    <col min="6657" max="6657" width="4.7109375" customWidth="1"/>
    <col min="6658" max="6658" width="5.28515625" customWidth="1"/>
    <col min="6659" max="6659" width="90.5703125" customWidth="1"/>
    <col min="6660" max="6660" width="11.5703125" customWidth="1"/>
    <col min="6661" max="6661" width="10.7109375" customWidth="1"/>
    <col min="6662" max="6662" width="9.28515625" customWidth="1"/>
    <col min="6663" max="6663" width="11" customWidth="1"/>
    <col min="6664" max="6664" width="10.28515625" customWidth="1"/>
    <col min="6665" max="6665" width="7.28515625" customWidth="1"/>
    <col min="6666" max="6666" width="11" customWidth="1"/>
    <col min="6667" max="6667" width="8.42578125" customWidth="1"/>
    <col min="6668" max="6668" width="11.5703125" customWidth="1"/>
    <col min="6669" max="6669" width="6.28515625" customWidth="1"/>
    <col min="6670" max="6670" width="54.28515625" customWidth="1"/>
    <col min="6671" max="6671" width="9" customWidth="1"/>
    <col min="6672" max="6676" width="0" hidden="1" customWidth="1"/>
    <col min="6913" max="6913" width="4.7109375" customWidth="1"/>
    <col min="6914" max="6914" width="5.28515625" customWidth="1"/>
    <col min="6915" max="6915" width="90.5703125" customWidth="1"/>
    <col min="6916" max="6916" width="11.5703125" customWidth="1"/>
    <col min="6917" max="6917" width="10.7109375" customWidth="1"/>
    <col min="6918" max="6918" width="9.28515625" customWidth="1"/>
    <col min="6919" max="6919" width="11" customWidth="1"/>
    <col min="6920" max="6920" width="10.28515625" customWidth="1"/>
    <col min="6921" max="6921" width="7.28515625" customWidth="1"/>
    <col min="6922" max="6922" width="11" customWidth="1"/>
    <col min="6923" max="6923" width="8.42578125" customWidth="1"/>
    <col min="6924" max="6924" width="11.5703125" customWidth="1"/>
    <col min="6925" max="6925" width="6.28515625" customWidth="1"/>
    <col min="6926" max="6926" width="54.28515625" customWidth="1"/>
    <col min="6927" max="6927" width="9" customWidth="1"/>
    <col min="6928" max="6932" width="0" hidden="1" customWidth="1"/>
    <col min="7169" max="7169" width="4.7109375" customWidth="1"/>
    <col min="7170" max="7170" width="5.28515625" customWidth="1"/>
    <col min="7171" max="7171" width="90.5703125" customWidth="1"/>
    <col min="7172" max="7172" width="11.5703125" customWidth="1"/>
    <col min="7173" max="7173" width="10.7109375" customWidth="1"/>
    <col min="7174" max="7174" width="9.28515625" customWidth="1"/>
    <col min="7175" max="7175" width="11" customWidth="1"/>
    <col min="7176" max="7176" width="10.28515625" customWidth="1"/>
    <col min="7177" max="7177" width="7.28515625" customWidth="1"/>
    <col min="7178" max="7178" width="11" customWidth="1"/>
    <col min="7179" max="7179" width="8.42578125" customWidth="1"/>
    <col min="7180" max="7180" width="11.5703125" customWidth="1"/>
    <col min="7181" max="7181" width="6.28515625" customWidth="1"/>
    <col min="7182" max="7182" width="54.28515625" customWidth="1"/>
    <col min="7183" max="7183" width="9" customWidth="1"/>
    <col min="7184" max="7188" width="0" hidden="1" customWidth="1"/>
    <col min="7425" max="7425" width="4.7109375" customWidth="1"/>
    <col min="7426" max="7426" width="5.28515625" customWidth="1"/>
    <col min="7427" max="7427" width="90.5703125" customWidth="1"/>
    <col min="7428" max="7428" width="11.5703125" customWidth="1"/>
    <col min="7429" max="7429" width="10.7109375" customWidth="1"/>
    <col min="7430" max="7430" width="9.28515625" customWidth="1"/>
    <col min="7431" max="7431" width="11" customWidth="1"/>
    <col min="7432" max="7432" width="10.28515625" customWidth="1"/>
    <col min="7433" max="7433" width="7.28515625" customWidth="1"/>
    <col min="7434" max="7434" width="11" customWidth="1"/>
    <col min="7435" max="7435" width="8.42578125" customWidth="1"/>
    <col min="7436" max="7436" width="11.5703125" customWidth="1"/>
    <col min="7437" max="7437" width="6.28515625" customWidth="1"/>
    <col min="7438" max="7438" width="54.28515625" customWidth="1"/>
    <col min="7439" max="7439" width="9" customWidth="1"/>
    <col min="7440" max="7444" width="0" hidden="1" customWidth="1"/>
    <col min="7681" max="7681" width="4.7109375" customWidth="1"/>
    <col min="7682" max="7682" width="5.28515625" customWidth="1"/>
    <col min="7683" max="7683" width="90.5703125" customWidth="1"/>
    <col min="7684" max="7684" width="11.5703125" customWidth="1"/>
    <col min="7685" max="7685" width="10.7109375" customWidth="1"/>
    <col min="7686" max="7686" width="9.28515625" customWidth="1"/>
    <col min="7687" max="7687" width="11" customWidth="1"/>
    <col min="7688" max="7688" width="10.28515625" customWidth="1"/>
    <col min="7689" max="7689" width="7.28515625" customWidth="1"/>
    <col min="7690" max="7690" width="11" customWidth="1"/>
    <col min="7691" max="7691" width="8.42578125" customWidth="1"/>
    <col min="7692" max="7692" width="11.5703125" customWidth="1"/>
    <col min="7693" max="7693" width="6.28515625" customWidth="1"/>
    <col min="7694" max="7694" width="54.28515625" customWidth="1"/>
    <col min="7695" max="7695" width="9" customWidth="1"/>
    <col min="7696" max="7700" width="0" hidden="1" customWidth="1"/>
    <col min="7937" max="7937" width="4.7109375" customWidth="1"/>
    <col min="7938" max="7938" width="5.28515625" customWidth="1"/>
    <col min="7939" max="7939" width="90.5703125" customWidth="1"/>
    <col min="7940" max="7940" width="11.5703125" customWidth="1"/>
    <col min="7941" max="7941" width="10.7109375" customWidth="1"/>
    <col min="7942" max="7942" width="9.28515625" customWidth="1"/>
    <col min="7943" max="7943" width="11" customWidth="1"/>
    <col min="7944" max="7944" width="10.28515625" customWidth="1"/>
    <col min="7945" max="7945" width="7.28515625" customWidth="1"/>
    <col min="7946" max="7946" width="11" customWidth="1"/>
    <col min="7947" max="7947" width="8.42578125" customWidth="1"/>
    <col min="7948" max="7948" width="11.5703125" customWidth="1"/>
    <col min="7949" max="7949" width="6.28515625" customWidth="1"/>
    <col min="7950" max="7950" width="54.28515625" customWidth="1"/>
    <col min="7951" max="7951" width="9" customWidth="1"/>
    <col min="7952" max="7956" width="0" hidden="1" customWidth="1"/>
    <col min="8193" max="8193" width="4.7109375" customWidth="1"/>
    <col min="8194" max="8194" width="5.28515625" customWidth="1"/>
    <col min="8195" max="8195" width="90.5703125" customWidth="1"/>
    <col min="8196" max="8196" width="11.5703125" customWidth="1"/>
    <col min="8197" max="8197" width="10.7109375" customWidth="1"/>
    <col min="8198" max="8198" width="9.28515625" customWidth="1"/>
    <col min="8199" max="8199" width="11" customWidth="1"/>
    <col min="8200" max="8200" width="10.28515625" customWidth="1"/>
    <col min="8201" max="8201" width="7.28515625" customWidth="1"/>
    <col min="8202" max="8202" width="11" customWidth="1"/>
    <col min="8203" max="8203" width="8.42578125" customWidth="1"/>
    <col min="8204" max="8204" width="11.5703125" customWidth="1"/>
    <col min="8205" max="8205" width="6.28515625" customWidth="1"/>
    <col min="8206" max="8206" width="54.28515625" customWidth="1"/>
    <col min="8207" max="8207" width="9" customWidth="1"/>
    <col min="8208" max="8212" width="0" hidden="1" customWidth="1"/>
    <col min="8449" max="8449" width="4.7109375" customWidth="1"/>
    <col min="8450" max="8450" width="5.28515625" customWidth="1"/>
    <col min="8451" max="8451" width="90.5703125" customWidth="1"/>
    <col min="8452" max="8452" width="11.5703125" customWidth="1"/>
    <col min="8453" max="8453" width="10.7109375" customWidth="1"/>
    <col min="8454" max="8454" width="9.28515625" customWidth="1"/>
    <col min="8455" max="8455" width="11" customWidth="1"/>
    <col min="8456" max="8456" width="10.28515625" customWidth="1"/>
    <col min="8457" max="8457" width="7.28515625" customWidth="1"/>
    <col min="8458" max="8458" width="11" customWidth="1"/>
    <col min="8459" max="8459" width="8.42578125" customWidth="1"/>
    <col min="8460" max="8460" width="11.5703125" customWidth="1"/>
    <col min="8461" max="8461" width="6.28515625" customWidth="1"/>
    <col min="8462" max="8462" width="54.28515625" customWidth="1"/>
    <col min="8463" max="8463" width="9" customWidth="1"/>
    <col min="8464" max="8468" width="0" hidden="1" customWidth="1"/>
    <col min="8705" max="8705" width="4.7109375" customWidth="1"/>
    <col min="8706" max="8706" width="5.28515625" customWidth="1"/>
    <col min="8707" max="8707" width="90.5703125" customWidth="1"/>
    <col min="8708" max="8708" width="11.5703125" customWidth="1"/>
    <col min="8709" max="8709" width="10.7109375" customWidth="1"/>
    <col min="8710" max="8710" width="9.28515625" customWidth="1"/>
    <col min="8711" max="8711" width="11" customWidth="1"/>
    <col min="8712" max="8712" width="10.28515625" customWidth="1"/>
    <col min="8713" max="8713" width="7.28515625" customWidth="1"/>
    <col min="8714" max="8714" width="11" customWidth="1"/>
    <col min="8715" max="8715" width="8.42578125" customWidth="1"/>
    <col min="8716" max="8716" width="11.5703125" customWidth="1"/>
    <col min="8717" max="8717" width="6.28515625" customWidth="1"/>
    <col min="8718" max="8718" width="54.28515625" customWidth="1"/>
    <col min="8719" max="8719" width="9" customWidth="1"/>
    <col min="8720" max="8724" width="0" hidden="1" customWidth="1"/>
    <col min="8961" max="8961" width="4.7109375" customWidth="1"/>
    <col min="8962" max="8962" width="5.28515625" customWidth="1"/>
    <col min="8963" max="8963" width="90.5703125" customWidth="1"/>
    <col min="8964" max="8964" width="11.5703125" customWidth="1"/>
    <col min="8965" max="8965" width="10.7109375" customWidth="1"/>
    <col min="8966" max="8966" width="9.28515625" customWidth="1"/>
    <col min="8967" max="8967" width="11" customWidth="1"/>
    <col min="8968" max="8968" width="10.28515625" customWidth="1"/>
    <col min="8969" max="8969" width="7.28515625" customWidth="1"/>
    <col min="8970" max="8970" width="11" customWidth="1"/>
    <col min="8971" max="8971" width="8.42578125" customWidth="1"/>
    <col min="8972" max="8972" width="11.5703125" customWidth="1"/>
    <col min="8973" max="8973" width="6.28515625" customWidth="1"/>
    <col min="8974" max="8974" width="54.28515625" customWidth="1"/>
    <col min="8975" max="8975" width="9" customWidth="1"/>
    <col min="8976" max="8980" width="0" hidden="1" customWidth="1"/>
    <col min="9217" max="9217" width="4.7109375" customWidth="1"/>
    <col min="9218" max="9218" width="5.28515625" customWidth="1"/>
    <col min="9219" max="9219" width="90.5703125" customWidth="1"/>
    <col min="9220" max="9220" width="11.5703125" customWidth="1"/>
    <col min="9221" max="9221" width="10.7109375" customWidth="1"/>
    <col min="9222" max="9222" width="9.28515625" customWidth="1"/>
    <col min="9223" max="9223" width="11" customWidth="1"/>
    <col min="9224" max="9224" width="10.28515625" customWidth="1"/>
    <col min="9225" max="9225" width="7.28515625" customWidth="1"/>
    <col min="9226" max="9226" width="11" customWidth="1"/>
    <col min="9227" max="9227" width="8.42578125" customWidth="1"/>
    <col min="9228" max="9228" width="11.5703125" customWidth="1"/>
    <col min="9229" max="9229" width="6.28515625" customWidth="1"/>
    <col min="9230" max="9230" width="54.28515625" customWidth="1"/>
    <col min="9231" max="9231" width="9" customWidth="1"/>
    <col min="9232" max="9236" width="0" hidden="1" customWidth="1"/>
    <col min="9473" max="9473" width="4.7109375" customWidth="1"/>
    <col min="9474" max="9474" width="5.28515625" customWidth="1"/>
    <col min="9475" max="9475" width="90.5703125" customWidth="1"/>
    <col min="9476" max="9476" width="11.5703125" customWidth="1"/>
    <col min="9477" max="9477" width="10.7109375" customWidth="1"/>
    <col min="9478" max="9478" width="9.28515625" customWidth="1"/>
    <col min="9479" max="9479" width="11" customWidth="1"/>
    <col min="9480" max="9480" width="10.28515625" customWidth="1"/>
    <col min="9481" max="9481" width="7.28515625" customWidth="1"/>
    <col min="9482" max="9482" width="11" customWidth="1"/>
    <col min="9483" max="9483" width="8.42578125" customWidth="1"/>
    <col min="9484" max="9484" width="11.5703125" customWidth="1"/>
    <col min="9485" max="9485" width="6.28515625" customWidth="1"/>
    <col min="9486" max="9486" width="54.28515625" customWidth="1"/>
    <col min="9487" max="9487" width="9" customWidth="1"/>
    <col min="9488" max="9492" width="0" hidden="1" customWidth="1"/>
    <col min="9729" max="9729" width="4.7109375" customWidth="1"/>
    <col min="9730" max="9730" width="5.28515625" customWidth="1"/>
    <col min="9731" max="9731" width="90.5703125" customWidth="1"/>
    <col min="9732" max="9732" width="11.5703125" customWidth="1"/>
    <col min="9733" max="9733" width="10.7109375" customWidth="1"/>
    <col min="9734" max="9734" width="9.28515625" customWidth="1"/>
    <col min="9735" max="9735" width="11" customWidth="1"/>
    <col min="9736" max="9736" width="10.28515625" customWidth="1"/>
    <col min="9737" max="9737" width="7.28515625" customWidth="1"/>
    <col min="9738" max="9738" width="11" customWidth="1"/>
    <col min="9739" max="9739" width="8.42578125" customWidth="1"/>
    <col min="9740" max="9740" width="11.5703125" customWidth="1"/>
    <col min="9741" max="9741" width="6.28515625" customWidth="1"/>
    <col min="9742" max="9742" width="54.28515625" customWidth="1"/>
    <col min="9743" max="9743" width="9" customWidth="1"/>
    <col min="9744" max="9748" width="0" hidden="1" customWidth="1"/>
    <col min="9985" max="9985" width="4.7109375" customWidth="1"/>
    <col min="9986" max="9986" width="5.28515625" customWidth="1"/>
    <col min="9987" max="9987" width="90.5703125" customWidth="1"/>
    <col min="9988" max="9988" width="11.5703125" customWidth="1"/>
    <col min="9989" max="9989" width="10.7109375" customWidth="1"/>
    <col min="9990" max="9990" width="9.28515625" customWidth="1"/>
    <col min="9991" max="9991" width="11" customWidth="1"/>
    <col min="9992" max="9992" width="10.28515625" customWidth="1"/>
    <col min="9993" max="9993" width="7.28515625" customWidth="1"/>
    <col min="9994" max="9994" width="11" customWidth="1"/>
    <col min="9995" max="9995" width="8.42578125" customWidth="1"/>
    <col min="9996" max="9996" width="11.5703125" customWidth="1"/>
    <col min="9997" max="9997" width="6.28515625" customWidth="1"/>
    <col min="9998" max="9998" width="54.28515625" customWidth="1"/>
    <col min="9999" max="9999" width="9" customWidth="1"/>
    <col min="10000" max="10004" width="0" hidden="1" customWidth="1"/>
    <col min="10241" max="10241" width="4.7109375" customWidth="1"/>
    <col min="10242" max="10242" width="5.28515625" customWidth="1"/>
    <col min="10243" max="10243" width="90.5703125" customWidth="1"/>
    <col min="10244" max="10244" width="11.5703125" customWidth="1"/>
    <col min="10245" max="10245" width="10.7109375" customWidth="1"/>
    <col min="10246" max="10246" width="9.28515625" customWidth="1"/>
    <col min="10247" max="10247" width="11" customWidth="1"/>
    <col min="10248" max="10248" width="10.28515625" customWidth="1"/>
    <col min="10249" max="10249" width="7.28515625" customWidth="1"/>
    <col min="10250" max="10250" width="11" customWidth="1"/>
    <col min="10251" max="10251" width="8.42578125" customWidth="1"/>
    <col min="10252" max="10252" width="11.5703125" customWidth="1"/>
    <col min="10253" max="10253" width="6.28515625" customWidth="1"/>
    <col min="10254" max="10254" width="54.28515625" customWidth="1"/>
    <col min="10255" max="10255" width="9" customWidth="1"/>
    <col min="10256" max="10260" width="0" hidden="1" customWidth="1"/>
    <col min="10497" max="10497" width="4.7109375" customWidth="1"/>
    <col min="10498" max="10498" width="5.28515625" customWidth="1"/>
    <col min="10499" max="10499" width="90.5703125" customWidth="1"/>
    <col min="10500" max="10500" width="11.5703125" customWidth="1"/>
    <col min="10501" max="10501" width="10.7109375" customWidth="1"/>
    <col min="10502" max="10502" width="9.28515625" customWidth="1"/>
    <col min="10503" max="10503" width="11" customWidth="1"/>
    <col min="10504" max="10504" width="10.28515625" customWidth="1"/>
    <col min="10505" max="10505" width="7.28515625" customWidth="1"/>
    <col min="10506" max="10506" width="11" customWidth="1"/>
    <col min="10507" max="10507" width="8.42578125" customWidth="1"/>
    <col min="10508" max="10508" width="11.5703125" customWidth="1"/>
    <col min="10509" max="10509" width="6.28515625" customWidth="1"/>
    <col min="10510" max="10510" width="54.28515625" customWidth="1"/>
    <col min="10511" max="10511" width="9" customWidth="1"/>
    <col min="10512" max="10516" width="0" hidden="1" customWidth="1"/>
    <col min="10753" max="10753" width="4.7109375" customWidth="1"/>
    <col min="10754" max="10754" width="5.28515625" customWidth="1"/>
    <col min="10755" max="10755" width="90.5703125" customWidth="1"/>
    <col min="10756" max="10756" width="11.5703125" customWidth="1"/>
    <col min="10757" max="10757" width="10.7109375" customWidth="1"/>
    <col min="10758" max="10758" width="9.28515625" customWidth="1"/>
    <col min="10759" max="10759" width="11" customWidth="1"/>
    <col min="10760" max="10760" width="10.28515625" customWidth="1"/>
    <col min="10761" max="10761" width="7.28515625" customWidth="1"/>
    <col min="10762" max="10762" width="11" customWidth="1"/>
    <col min="10763" max="10763" width="8.42578125" customWidth="1"/>
    <col min="10764" max="10764" width="11.5703125" customWidth="1"/>
    <col min="10765" max="10765" width="6.28515625" customWidth="1"/>
    <col min="10766" max="10766" width="54.28515625" customWidth="1"/>
    <col min="10767" max="10767" width="9" customWidth="1"/>
    <col min="10768" max="10772" width="0" hidden="1" customWidth="1"/>
    <col min="11009" max="11009" width="4.7109375" customWidth="1"/>
    <col min="11010" max="11010" width="5.28515625" customWidth="1"/>
    <col min="11011" max="11011" width="90.5703125" customWidth="1"/>
    <col min="11012" max="11012" width="11.5703125" customWidth="1"/>
    <col min="11013" max="11013" width="10.7109375" customWidth="1"/>
    <col min="11014" max="11014" width="9.28515625" customWidth="1"/>
    <col min="11015" max="11015" width="11" customWidth="1"/>
    <col min="11016" max="11016" width="10.28515625" customWidth="1"/>
    <col min="11017" max="11017" width="7.28515625" customWidth="1"/>
    <col min="11018" max="11018" width="11" customWidth="1"/>
    <col min="11019" max="11019" width="8.42578125" customWidth="1"/>
    <col min="11020" max="11020" width="11.5703125" customWidth="1"/>
    <col min="11021" max="11021" width="6.28515625" customWidth="1"/>
    <col min="11022" max="11022" width="54.28515625" customWidth="1"/>
    <col min="11023" max="11023" width="9" customWidth="1"/>
    <col min="11024" max="11028" width="0" hidden="1" customWidth="1"/>
    <col min="11265" max="11265" width="4.7109375" customWidth="1"/>
    <col min="11266" max="11266" width="5.28515625" customWidth="1"/>
    <col min="11267" max="11267" width="90.5703125" customWidth="1"/>
    <col min="11268" max="11268" width="11.5703125" customWidth="1"/>
    <col min="11269" max="11269" width="10.7109375" customWidth="1"/>
    <col min="11270" max="11270" width="9.28515625" customWidth="1"/>
    <col min="11271" max="11271" width="11" customWidth="1"/>
    <col min="11272" max="11272" width="10.28515625" customWidth="1"/>
    <col min="11273" max="11273" width="7.28515625" customWidth="1"/>
    <col min="11274" max="11274" width="11" customWidth="1"/>
    <col min="11275" max="11275" width="8.42578125" customWidth="1"/>
    <col min="11276" max="11276" width="11.5703125" customWidth="1"/>
    <col min="11277" max="11277" width="6.28515625" customWidth="1"/>
    <col min="11278" max="11278" width="54.28515625" customWidth="1"/>
    <col min="11279" max="11279" width="9" customWidth="1"/>
    <col min="11280" max="11284" width="0" hidden="1" customWidth="1"/>
    <col min="11521" max="11521" width="4.7109375" customWidth="1"/>
    <col min="11522" max="11522" width="5.28515625" customWidth="1"/>
    <col min="11523" max="11523" width="90.5703125" customWidth="1"/>
    <col min="11524" max="11524" width="11.5703125" customWidth="1"/>
    <col min="11525" max="11525" width="10.7109375" customWidth="1"/>
    <col min="11526" max="11526" width="9.28515625" customWidth="1"/>
    <col min="11527" max="11527" width="11" customWidth="1"/>
    <col min="11528" max="11528" width="10.28515625" customWidth="1"/>
    <col min="11529" max="11529" width="7.28515625" customWidth="1"/>
    <col min="11530" max="11530" width="11" customWidth="1"/>
    <col min="11531" max="11531" width="8.42578125" customWidth="1"/>
    <col min="11532" max="11532" width="11.5703125" customWidth="1"/>
    <col min="11533" max="11533" width="6.28515625" customWidth="1"/>
    <col min="11534" max="11534" width="54.28515625" customWidth="1"/>
    <col min="11535" max="11535" width="9" customWidth="1"/>
    <col min="11536" max="11540" width="0" hidden="1" customWidth="1"/>
    <col min="11777" max="11777" width="4.7109375" customWidth="1"/>
    <col min="11778" max="11778" width="5.28515625" customWidth="1"/>
    <col min="11779" max="11779" width="90.5703125" customWidth="1"/>
    <col min="11780" max="11780" width="11.5703125" customWidth="1"/>
    <col min="11781" max="11781" width="10.7109375" customWidth="1"/>
    <col min="11782" max="11782" width="9.28515625" customWidth="1"/>
    <col min="11783" max="11783" width="11" customWidth="1"/>
    <col min="11784" max="11784" width="10.28515625" customWidth="1"/>
    <col min="11785" max="11785" width="7.28515625" customWidth="1"/>
    <col min="11786" max="11786" width="11" customWidth="1"/>
    <col min="11787" max="11787" width="8.42578125" customWidth="1"/>
    <col min="11788" max="11788" width="11.5703125" customWidth="1"/>
    <col min="11789" max="11789" width="6.28515625" customWidth="1"/>
    <col min="11790" max="11790" width="54.28515625" customWidth="1"/>
    <col min="11791" max="11791" width="9" customWidth="1"/>
    <col min="11792" max="11796" width="0" hidden="1" customWidth="1"/>
    <col min="12033" max="12033" width="4.7109375" customWidth="1"/>
    <col min="12034" max="12034" width="5.28515625" customWidth="1"/>
    <col min="12035" max="12035" width="90.5703125" customWidth="1"/>
    <col min="12036" max="12036" width="11.5703125" customWidth="1"/>
    <col min="12037" max="12037" width="10.7109375" customWidth="1"/>
    <col min="12038" max="12038" width="9.28515625" customWidth="1"/>
    <col min="12039" max="12039" width="11" customWidth="1"/>
    <col min="12040" max="12040" width="10.28515625" customWidth="1"/>
    <col min="12041" max="12041" width="7.28515625" customWidth="1"/>
    <col min="12042" max="12042" width="11" customWidth="1"/>
    <col min="12043" max="12043" width="8.42578125" customWidth="1"/>
    <col min="12044" max="12044" width="11.5703125" customWidth="1"/>
    <col min="12045" max="12045" width="6.28515625" customWidth="1"/>
    <col min="12046" max="12046" width="54.28515625" customWidth="1"/>
    <col min="12047" max="12047" width="9" customWidth="1"/>
    <col min="12048" max="12052" width="0" hidden="1" customWidth="1"/>
    <col min="12289" max="12289" width="4.7109375" customWidth="1"/>
    <col min="12290" max="12290" width="5.28515625" customWidth="1"/>
    <col min="12291" max="12291" width="90.5703125" customWidth="1"/>
    <col min="12292" max="12292" width="11.5703125" customWidth="1"/>
    <col min="12293" max="12293" width="10.7109375" customWidth="1"/>
    <col min="12294" max="12294" width="9.28515625" customWidth="1"/>
    <col min="12295" max="12295" width="11" customWidth="1"/>
    <col min="12296" max="12296" width="10.28515625" customWidth="1"/>
    <col min="12297" max="12297" width="7.28515625" customWidth="1"/>
    <col min="12298" max="12298" width="11" customWidth="1"/>
    <col min="12299" max="12299" width="8.42578125" customWidth="1"/>
    <col min="12300" max="12300" width="11.5703125" customWidth="1"/>
    <col min="12301" max="12301" width="6.28515625" customWidth="1"/>
    <col min="12302" max="12302" width="54.28515625" customWidth="1"/>
    <col min="12303" max="12303" width="9" customWidth="1"/>
    <col min="12304" max="12308" width="0" hidden="1" customWidth="1"/>
    <col min="12545" max="12545" width="4.7109375" customWidth="1"/>
    <col min="12546" max="12546" width="5.28515625" customWidth="1"/>
    <col min="12547" max="12547" width="90.5703125" customWidth="1"/>
    <col min="12548" max="12548" width="11.5703125" customWidth="1"/>
    <col min="12549" max="12549" width="10.7109375" customWidth="1"/>
    <col min="12550" max="12550" width="9.28515625" customWidth="1"/>
    <col min="12551" max="12551" width="11" customWidth="1"/>
    <col min="12552" max="12552" width="10.28515625" customWidth="1"/>
    <col min="12553" max="12553" width="7.28515625" customWidth="1"/>
    <col min="12554" max="12554" width="11" customWidth="1"/>
    <col min="12555" max="12555" width="8.42578125" customWidth="1"/>
    <col min="12556" max="12556" width="11.5703125" customWidth="1"/>
    <col min="12557" max="12557" width="6.28515625" customWidth="1"/>
    <col min="12558" max="12558" width="54.28515625" customWidth="1"/>
    <col min="12559" max="12559" width="9" customWidth="1"/>
    <col min="12560" max="12564" width="0" hidden="1" customWidth="1"/>
    <col min="12801" max="12801" width="4.7109375" customWidth="1"/>
    <col min="12802" max="12802" width="5.28515625" customWidth="1"/>
    <col min="12803" max="12803" width="90.5703125" customWidth="1"/>
    <col min="12804" max="12804" width="11.5703125" customWidth="1"/>
    <col min="12805" max="12805" width="10.7109375" customWidth="1"/>
    <col min="12806" max="12806" width="9.28515625" customWidth="1"/>
    <col min="12807" max="12807" width="11" customWidth="1"/>
    <col min="12808" max="12808" width="10.28515625" customWidth="1"/>
    <col min="12809" max="12809" width="7.28515625" customWidth="1"/>
    <col min="12810" max="12810" width="11" customWidth="1"/>
    <col min="12811" max="12811" width="8.42578125" customWidth="1"/>
    <col min="12812" max="12812" width="11.5703125" customWidth="1"/>
    <col min="12813" max="12813" width="6.28515625" customWidth="1"/>
    <col min="12814" max="12814" width="54.28515625" customWidth="1"/>
    <col min="12815" max="12815" width="9" customWidth="1"/>
    <col min="12816" max="12820" width="0" hidden="1" customWidth="1"/>
    <col min="13057" max="13057" width="4.7109375" customWidth="1"/>
    <col min="13058" max="13058" width="5.28515625" customWidth="1"/>
    <col min="13059" max="13059" width="90.5703125" customWidth="1"/>
    <col min="13060" max="13060" width="11.5703125" customWidth="1"/>
    <col min="13061" max="13061" width="10.7109375" customWidth="1"/>
    <col min="13062" max="13062" width="9.28515625" customWidth="1"/>
    <col min="13063" max="13063" width="11" customWidth="1"/>
    <col min="13064" max="13064" width="10.28515625" customWidth="1"/>
    <col min="13065" max="13065" width="7.28515625" customWidth="1"/>
    <col min="13066" max="13066" width="11" customWidth="1"/>
    <col min="13067" max="13067" width="8.42578125" customWidth="1"/>
    <col min="13068" max="13068" width="11.5703125" customWidth="1"/>
    <col min="13069" max="13069" width="6.28515625" customWidth="1"/>
    <col min="13070" max="13070" width="54.28515625" customWidth="1"/>
    <col min="13071" max="13071" width="9" customWidth="1"/>
    <col min="13072" max="13076" width="0" hidden="1" customWidth="1"/>
    <col min="13313" max="13313" width="4.7109375" customWidth="1"/>
    <col min="13314" max="13314" width="5.28515625" customWidth="1"/>
    <col min="13315" max="13315" width="90.5703125" customWidth="1"/>
    <col min="13316" max="13316" width="11.5703125" customWidth="1"/>
    <col min="13317" max="13317" width="10.7109375" customWidth="1"/>
    <col min="13318" max="13318" width="9.28515625" customWidth="1"/>
    <col min="13319" max="13319" width="11" customWidth="1"/>
    <col min="13320" max="13320" width="10.28515625" customWidth="1"/>
    <col min="13321" max="13321" width="7.28515625" customWidth="1"/>
    <col min="13322" max="13322" width="11" customWidth="1"/>
    <col min="13323" max="13323" width="8.42578125" customWidth="1"/>
    <col min="13324" max="13324" width="11.5703125" customWidth="1"/>
    <col min="13325" max="13325" width="6.28515625" customWidth="1"/>
    <col min="13326" max="13326" width="54.28515625" customWidth="1"/>
    <col min="13327" max="13327" width="9" customWidth="1"/>
    <col min="13328" max="13332" width="0" hidden="1" customWidth="1"/>
    <col min="13569" max="13569" width="4.7109375" customWidth="1"/>
    <col min="13570" max="13570" width="5.28515625" customWidth="1"/>
    <col min="13571" max="13571" width="90.5703125" customWidth="1"/>
    <col min="13572" max="13572" width="11.5703125" customWidth="1"/>
    <col min="13573" max="13573" width="10.7109375" customWidth="1"/>
    <col min="13574" max="13574" width="9.28515625" customWidth="1"/>
    <col min="13575" max="13575" width="11" customWidth="1"/>
    <col min="13576" max="13576" width="10.28515625" customWidth="1"/>
    <col min="13577" max="13577" width="7.28515625" customWidth="1"/>
    <col min="13578" max="13578" width="11" customWidth="1"/>
    <col min="13579" max="13579" width="8.42578125" customWidth="1"/>
    <col min="13580" max="13580" width="11.5703125" customWidth="1"/>
    <col min="13581" max="13581" width="6.28515625" customWidth="1"/>
    <col min="13582" max="13582" width="54.28515625" customWidth="1"/>
    <col min="13583" max="13583" width="9" customWidth="1"/>
    <col min="13584" max="13588" width="0" hidden="1" customWidth="1"/>
    <col min="13825" max="13825" width="4.7109375" customWidth="1"/>
    <col min="13826" max="13826" width="5.28515625" customWidth="1"/>
    <col min="13827" max="13827" width="90.5703125" customWidth="1"/>
    <col min="13828" max="13828" width="11.5703125" customWidth="1"/>
    <col min="13829" max="13829" width="10.7109375" customWidth="1"/>
    <col min="13830" max="13830" width="9.28515625" customWidth="1"/>
    <col min="13831" max="13831" width="11" customWidth="1"/>
    <col min="13832" max="13832" width="10.28515625" customWidth="1"/>
    <col min="13833" max="13833" width="7.28515625" customWidth="1"/>
    <col min="13834" max="13834" width="11" customWidth="1"/>
    <col min="13835" max="13835" width="8.42578125" customWidth="1"/>
    <col min="13836" max="13836" width="11.5703125" customWidth="1"/>
    <col min="13837" max="13837" width="6.28515625" customWidth="1"/>
    <col min="13838" max="13838" width="54.28515625" customWidth="1"/>
    <col min="13839" max="13839" width="9" customWidth="1"/>
    <col min="13840" max="13844" width="0" hidden="1" customWidth="1"/>
    <col min="14081" max="14081" width="4.7109375" customWidth="1"/>
    <col min="14082" max="14082" width="5.28515625" customWidth="1"/>
    <col min="14083" max="14083" width="90.5703125" customWidth="1"/>
    <col min="14084" max="14084" width="11.5703125" customWidth="1"/>
    <col min="14085" max="14085" width="10.7109375" customWidth="1"/>
    <col min="14086" max="14086" width="9.28515625" customWidth="1"/>
    <col min="14087" max="14087" width="11" customWidth="1"/>
    <col min="14088" max="14088" width="10.28515625" customWidth="1"/>
    <col min="14089" max="14089" width="7.28515625" customWidth="1"/>
    <col min="14090" max="14090" width="11" customWidth="1"/>
    <col min="14091" max="14091" width="8.42578125" customWidth="1"/>
    <col min="14092" max="14092" width="11.5703125" customWidth="1"/>
    <col min="14093" max="14093" width="6.28515625" customWidth="1"/>
    <col min="14094" max="14094" width="54.28515625" customWidth="1"/>
    <col min="14095" max="14095" width="9" customWidth="1"/>
    <col min="14096" max="14100" width="0" hidden="1" customWidth="1"/>
    <col min="14337" max="14337" width="4.7109375" customWidth="1"/>
    <col min="14338" max="14338" width="5.28515625" customWidth="1"/>
    <col min="14339" max="14339" width="90.5703125" customWidth="1"/>
    <col min="14340" max="14340" width="11.5703125" customWidth="1"/>
    <col min="14341" max="14341" width="10.7109375" customWidth="1"/>
    <col min="14342" max="14342" width="9.28515625" customWidth="1"/>
    <col min="14343" max="14343" width="11" customWidth="1"/>
    <col min="14344" max="14344" width="10.28515625" customWidth="1"/>
    <col min="14345" max="14345" width="7.28515625" customWidth="1"/>
    <col min="14346" max="14346" width="11" customWidth="1"/>
    <col min="14347" max="14347" width="8.42578125" customWidth="1"/>
    <col min="14348" max="14348" width="11.5703125" customWidth="1"/>
    <col min="14349" max="14349" width="6.28515625" customWidth="1"/>
    <col min="14350" max="14350" width="54.28515625" customWidth="1"/>
    <col min="14351" max="14351" width="9" customWidth="1"/>
    <col min="14352" max="14356" width="0" hidden="1" customWidth="1"/>
    <col min="14593" max="14593" width="4.7109375" customWidth="1"/>
    <col min="14594" max="14594" width="5.28515625" customWidth="1"/>
    <col min="14595" max="14595" width="90.5703125" customWidth="1"/>
    <col min="14596" max="14596" width="11.5703125" customWidth="1"/>
    <col min="14597" max="14597" width="10.7109375" customWidth="1"/>
    <col min="14598" max="14598" width="9.28515625" customWidth="1"/>
    <col min="14599" max="14599" width="11" customWidth="1"/>
    <col min="14600" max="14600" width="10.28515625" customWidth="1"/>
    <col min="14601" max="14601" width="7.28515625" customWidth="1"/>
    <col min="14602" max="14602" width="11" customWidth="1"/>
    <col min="14603" max="14603" width="8.42578125" customWidth="1"/>
    <col min="14604" max="14604" width="11.5703125" customWidth="1"/>
    <col min="14605" max="14605" width="6.28515625" customWidth="1"/>
    <col min="14606" max="14606" width="54.28515625" customWidth="1"/>
    <col min="14607" max="14607" width="9" customWidth="1"/>
    <col min="14608" max="14612" width="0" hidden="1" customWidth="1"/>
    <col min="14849" max="14849" width="4.7109375" customWidth="1"/>
    <col min="14850" max="14850" width="5.28515625" customWidth="1"/>
    <col min="14851" max="14851" width="90.5703125" customWidth="1"/>
    <col min="14852" max="14852" width="11.5703125" customWidth="1"/>
    <col min="14853" max="14853" width="10.7109375" customWidth="1"/>
    <col min="14854" max="14854" width="9.28515625" customWidth="1"/>
    <col min="14855" max="14855" width="11" customWidth="1"/>
    <col min="14856" max="14856" width="10.28515625" customWidth="1"/>
    <col min="14857" max="14857" width="7.28515625" customWidth="1"/>
    <col min="14858" max="14858" width="11" customWidth="1"/>
    <col min="14859" max="14859" width="8.42578125" customWidth="1"/>
    <col min="14860" max="14860" width="11.5703125" customWidth="1"/>
    <col min="14861" max="14861" width="6.28515625" customWidth="1"/>
    <col min="14862" max="14862" width="54.28515625" customWidth="1"/>
    <col min="14863" max="14863" width="9" customWidth="1"/>
    <col min="14864" max="14868" width="0" hidden="1" customWidth="1"/>
    <col min="15105" max="15105" width="4.7109375" customWidth="1"/>
    <col min="15106" max="15106" width="5.28515625" customWidth="1"/>
    <col min="15107" max="15107" width="90.5703125" customWidth="1"/>
    <col min="15108" max="15108" width="11.5703125" customWidth="1"/>
    <col min="15109" max="15109" width="10.7109375" customWidth="1"/>
    <col min="15110" max="15110" width="9.28515625" customWidth="1"/>
    <col min="15111" max="15111" width="11" customWidth="1"/>
    <col min="15112" max="15112" width="10.28515625" customWidth="1"/>
    <col min="15113" max="15113" width="7.28515625" customWidth="1"/>
    <col min="15114" max="15114" width="11" customWidth="1"/>
    <col min="15115" max="15115" width="8.42578125" customWidth="1"/>
    <col min="15116" max="15116" width="11.5703125" customWidth="1"/>
    <col min="15117" max="15117" width="6.28515625" customWidth="1"/>
    <col min="15118" max="15118" width="54.28515625" customWidth="1"/>
    <col min="15119" max="15119" width="9" customWidth="1"/>
    <col min="15120" max="15124" width="0" hidden="1" customWidth="1"/>
    <col min="15361" max="15361" width="4.7109375" customWidth="1"/>
    <col min="15362" max="15362" width="5.28515625" customWidth="1"/>
    <col min="15363" max="15363" width="90.5703125" customWidth="1"/>
    <col min="15364" max="15364" width="11.5703125" customWidth="1"/>
    <col min="15365" max="15365" width="10.7109375" customWidth="1"/>
    <col min="15366" max="15366" width="9.28515625" customWidth="1"/>
    <col min="15367" max="15367" width="11" customWidth="1"/>
    <col min="15368" max="15368" width="10.28515625" customWidth="1"/>
    <col min="15369" max="15369" width="7.28515625" customWidth="1"/>
    <col min="15370" max="15370" width="11" customWidth="1"/>
    <col min="15371" max="15371" width="8.42578125" customWidth="1"/>
    <col min="15372" max="15372" width="11.5703125" customWidth="1"/>
    <col min="15373" max="15373" width="6.28515625" customWidth="1"/>
    <col min="15374" max="15374" width="54.28515625" customWidth="1"/>
    <col min="15375" max="15375" width="9" customWidth="1"/>
    <col min="15376" max="15380" width="0" hidden="1" customWidth="1"/>
    <col min="15617" max="15617" width="4.7109375" customWidth="1"/>
    <col min="15618" max="15618" width="5.28515625" customWidth="1"/>
    <col min="15619" max="15619" width="90.5703125" customWidth="1"/>
    <col min="15620" max="15620" width="11.5703125" customWidth="1"/>
    <col min="15621" max="15621" width="10.7109375" customWidth="1"/>
    <col min="15622" max="15622" width="9.28515625" customWidth="1"/>
    <col min="15623" max="15623" width="11" customWidth="1"/>
    <col min="15624" max="15624" width="10.28515625" customWidth="1"/>
    <col min="15625" max="15625" width="7.28515625" customWidth="1"/>
    <col min="15626" max="15626" width="11" customWidth="1"/>
    <col min="15627" max="15627" width="8.42578125" customWidth="1"/>
    <col min="15628" max="15628" width="11.5703125" customWidth="1"/>
    <col min="15629" max="15629" width="6.28515625" customWidth="1"/>
    <col min="15630" max="15630" width="54.28515625" customWidth="1"/>
    <col min="15631" max="15631" width="9" customWidth="1"/>
    <col min="15632" max="15636" width="0" hidden="1" customWidth="1"/>
    <col min="15873" max="15873" width="4.7109375" customWidth="1"/>
    <col min="15874" max="15874" width="5.28515625" customWidth="1"/>
    <col min="15875" max="15875" width="90.5703125" customWidth="1"/>
    <col min="15876" max="15876" width="11.5703125" customWidth="1"/>
    <col min="15877" max="15877" width="10.7109375" customWidth="1"/>
    <col min="15878" max="15878" width="9.28515625" customWidth="1"/>
    <col min="15879" max="15879" width="11" customWidth="1"/>
    <col min="15880" max="15880" width="10.28515625" customWidth="1"/>
    <col min="15881" max="15881" width="7.28515625" customWidth="1"/>
    <col min="15882" max="15882" width="11" customWidth="1"/>
    <col min="15883" max="15883" width="8.42578125" customWidth="1"/>
    <col min="15884" max="15884" width="11.5703125" customWidth="1"/>
    <col min="15885" max="15885" width="6.28515625" customWidth="1"/>
    <col min="15886" max="15886" width="54.28515625" customWidth="1"/>
    <col min="15887" max="15887" width="9" customWidth="1"/>
    <col min="15888" max="15892" width="0" hidden="1" customWidth="1"/>
    <col min="16129" max="16129" width="4.7109375" customWidth="1"/>
    <col min="16130" max="16130" width="5.28515625" customWidth="1"/>
    <col min="16131" max="16131" width="90.5703125" customWidth="1"/>
    <col min="16132" max="16132" width="11.5703125" customWidth="1"/>
    <col min="16133" max="16133" width="10.7109375" customWidth="1"/>
    <col min="16134" max="16134" width="9.28515625" customWidth="1"/>
    <col min="16135" max="16135" width="11" customWidth="1"/>
    <col min="16136" max="16136" width="10.28515625" customWidth="1"/>
    <col min="16137" max="16137" width="7.28515625" customWidth="1"/>
    <col min="16138" max="16138" width="11" customWidth="1"/>
    <col min="16139" max="16139" width="8.42578125" customWidth="1"/>
    <col min="16140" max="16140" width="11.5703125" customWidth="1"/>
    <col min="16141" max="16141" width="6.28515625" customWidth="1"/>
    <col min="16142" max="16142" width="54.28515625" customWidth="1"/>
    <col min="16143" max="16143" width="9" customWidth="1"/>
    <col min="16144" max="16148" width="0" hidden="1" customWidth="1"/>
  </cols>
  <sheetData>
    <row r="1" spans="1:22" ht="18" x14ac:dyDescent="0.25">
      <c r="A1" s="230" t="s">
        <v>379</v>
      </c>
      <c r="B1" s="231"/>
      <c r="C1" s="232"/>
      <c r="D1" s="232"/>
      <c r="E1" s="232"/>
      <c r="F1" s="232"/>
      <c r="G1" s="232"/>
      <c r="H1" s="232"/>
      <c r="I1" s="232"/>
      <c r="J1" s="232"/>
      <c r="K1" s="233"/>
      <c r="L1" s="233"/>
      <c r="M1" s="234"/>
      <c r="N1" s="233"/>
    </row>
    <row r="2" spans="1:22" x14ac:dyDescent="0.25">
      <c r="A2" s="235" t="s">
        <v>0</v>
      </c>
      <c r="B2" s="236"/>
      <c r="C2" s="232"/>
      <c r="D2" s="232"/>
      <c r="E2" s="232"/>
      <c r="F2" s="232"/>
      <c r="G2" s="232"/>
      <c r="H2" s="232"/>
      <c r="I2" s="232"/>
      <c r="J2" s="232"/>
      <c r="K2" s="233"/>
      <c r="L2" s="233"/>
      <c r="M2" s="234"/>
      <c r="N2" s="233"/>
    </row>
    <row r="3" spans="1:22" x14ac:dyDescent="0.25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22" ht="12.75" customHeight="1" x14ac:dyDescent="0.25">
      <c r="A4" s="714" t="s">
        <v>175</v>
      </c>
      <c r="B4" s="717" t="s">
        <v>176</v>
      </c>
      <c r="C4" s="720" t="s">
        <v>177</v>
      </c>
      <c r="D4" s="723" t="s">
        <v>178</v>
      </c>
      <c r="E4" s="238"/>
      <c r="F4" s="239"/>
      <c r="G4" s="239"/>
      <c r="H4" s="238" t="s">
        <v>44</v>
      </c>
      <c r="I4" s="238"/>
      <c r="J4" s="239"/>
      <c r="K4" s="708" t="s">
        <v>179</v>
      </c>
      <c r="L4" s="711" t="s">
        <v>180</v>
      </c>
      <c r="M4" s="698" t="s">
        <v>181</v>
      </c>
      <c r="N4" s="237"/>
    </row>
    <row r="5" spans="1:22" ht="12.75" customHeight="1" x14ac:dyDescent="0.25">
      <c r="A5" s="715"/>
      <c r="B5" s="718"/>
      <c r="C5" s="721"/>
      <c r="D5" s="724"/>
      <c r="E5" s="701" t="s">
        <v>182</v>
      </c>
      <c r="F5" s="240" t="s">
        <v>44</v>
      </c>
      <c r="G5" s="241"/>
      <c r="H5" s="703" t="s">
        <v>49</v>
      </c>
      <c r="I5" s="705" t="s">
        <v>50</v>
      </c>
      <c r="J5" s="703" t="s">
        <v>51</v>
      </c>
      <c r="K5" s="709"/>
      <c r="L5" s="712"/>
      <c r="M5" s="699"/>
      <c r="N5" s="237"/>
    </row>
    <row r="6" spans="1:22" ht="43.5" customHeight="1" thickBot="1" x14ac:dyDescent="0.3">
      <c r="A6" s="715"/>
      <c r="B6" s="718"/>
      <c r="C6" s="721"/>
      <c r="D6" s="724"/>
      <c r="E6" s="702"/>
      <c r="F6" s="242" t="s">
        <v>183</v>
      </c>
      <c r="G6" s="243" t="s">
        <v>184</v>
      </c>
      <c r="H6" s="704"/>
      <c r="I6" s="706"/>
      <c r="J6" s="707"/>
      <c r="K6" s="710"/>
      <c r="L6" s="713"/>
      <c r="M6" s="700"/>
      <c r="N6" s="237"/>
    </row>
    <row r="7" spans="1:22" ht="15.75" thickBot="1" x14ac:dyDescent="0.3">
      <c r="A7" s="716"/>
      <c r="B7" s="719"/>
      <c r="C7" s="722"/>
      <c r="D7" s="244" t="s">
        <v>56</v>
      </c>
      <c r="E7" s="245" t="s">
        <v>57</v>
      </c>
      <c r="F7" s="246" t="s">
        <v>58</v>
      </c>
      <c r="G7" s="246" t="s">
        <v>59</v>
      </c>
      <c r="H7" s="246" t="s">
        <v>60</v>
      </c>
      <c r="I7" s="246" t="s">
        <v>61</v>
      </c>
      <c r="J7" s="246" t="s">
        <v>62</v>
      </c>
      <c r="K7" s="247" t="s">
        <v>63</v>
      </c>
      <c r="L7" s="248" t="s">
        <v>185</v>
      </c>
      <c r="M7" s="249" t="s">
        <v>186</v>
      </c>
      <c r="N7" s="237"/>
    </row>
    <row r="8" spans="1:22" ht="15.75" thickTop="1" x14ac:dyDescent="0.25">
      <c r="A8" s="695" t="s">
        <v>65</v>
      </c>
      <c r="B8" s="250" t="s">
        <v>56</v>
      </c>
      <c r="C8" s="586" t="s">
        <v>187</v>
      </c>
      <c r="D8" s="599">
        <f>E8+H8+I8+J8</f>
        <v>1704000</v>
      </c>
      <c r="E8" s="600">
        <f>SUM(F8+G8)</f>
        <v>0</v>
      </c>
      <c r="F8" s="601"/>
      <c r="G8" s="601"/>
      <c r="H8" s="601"/>
      <c r="I8" s="601"/>
      <c r="J8" s="602">
        <v>1704000</v>
      </c>
      <c r="K8" s="603"/>
      <c r="L8" s="604">
        <f>D8-K8</f>
        <v>1704000</v>
      </c>
      <c r="M8" s="605"/>
      <c r="N8" s="237"/>
    </row>
    <row r="9" spans="1:22" x14ac:dyDescent="0.25">
      <c r="A9" s="696"/>
      <c r="B9" s="251" t="s">
        <v>57</v>
      </c>
      <c r="C9" s="587" t="s">
        <v>188</v>
      </c>
      <c r="D9" s="606">
        <f>E9+H9+I9+J9</f>
        <v>729000</v>
      </c>
      <c r="E9" s="607">
        <f>SUM(F9+G9)</f>
        <v>378448</v>
      </c>
      <c r="F9" s="608">
        <v>128448</v>
      </c>
      <c r="G9" s="608">
        <v>250000</v>
      </c>
      <c r="H9" s="609">
        <f>ROUND((F9*0.34+G9*0.34),0)</f>
        <v>128672</v>
      </c>
      <c r="I9" s="609">
        <f>ROUND((F9*0.015),0)</f>
        <v>1927</v>
      </c>
      <c r="J9" s="608">
        <f>311800-91847</f>
        <v>219953</v>
      </c>
      <c r="K9" s="610"/>
      <c r="L9" s="611">
        <f>D9-K9</f>
        <v>729000</v>
      </c>
      <c r="M9" s="612">
        <v>0.67</v>
      </c>
      <c r="N9" s="237"/>
      <c r="O9" s="253"/>
      <c r="U9" s="253"/>
      <c r="V9" s="253"/>
    </row>
    <row r="10" spans="1:22" ht="15.75" thickBot="1" x14ac:dyDescent="0.3">
      <c r="A10" s="697"/>
      <c r="B10" s="254"/>
      <c r="C10" s="588" t="s">
        <v>189</v>
      </c>
      <c r="D10" s="665">
        <f>SUM(D8:D9)</f>
        <v>2433000</v>
      </c>
      <c r="E10" s="666">
        <f t="shared" ref="E10:M10" si="0">SUM(E8:E9)</f>
        <v>378448</v>
      </c>
      <c r="F10" s="667">
        <f t="shared" si="0"/>
        <v>128448</v>
      </c>
      <c r="G10" s="667">
        <f t="shared" si="0"/>
        <v>250000</v>
      </c>
      <c r="H10" s="668">
        <f t="shared" si="0"/>
        <v>128672</v>
      </c>
      <c r="I10" s="668">
        <f t="shared" si="0"/>
        <v>1927</v>
      </c>
      <c r="J10" s="667">
        <f t="shared" si="0"/>
        <v>1923953</v>
      </c>
      <c r="K10" s="669">
        <f t="shared" si="0"/>
        <v>0</v>
      </c>
      <c r="L10" s="665">
        <f t="shared" si="0"/>
        <v>2433000</v>
      </c>
      <c r="M10" s="670">
        <f t="shared" si="0"/>
        <v>0.67</v>
      </c>
      <c r="N10" s="237"/>
      <c r="O10" s="253"/>
      <c r="U10" s="253"/>
      <c r="V10" s="253"/>
    </row>
    <row r="11" spans="1:22" ht="15.75" thickTop="1" x14ac:dyDescent="0.25">
      <c r="A11" s="695" t="s">
        <v>190</v>
      </c>
      <c r="B11" s="250" t="s">
        <v>56</v>
      </c>
      <c r="C11" s="589" t="s">
        <v>191</v>
      </c>
      <c r="D11" s="288">
        <f>SUM(E11+H11+I11+J11)</f>
        <v>425000</v>
      </c>
      <c r="E11" s="613">
        <f>SUM(F11+G11)</f>
        <v>320000</v>
      </c>
      <c r="F11" s="614">
        <v>220000</v>
      </c>
      <c r="G11" s="614">
        <v>100000</v>
      </c>
      <c r="H11" s="614">
        <v>75000</v>
      </c>
      <c r="I11" s="614">
        <f>ROUND((F11*0.015),0)</f>
        <v>3300</v>
      </c>
      <c r="J11" s="294">
        <f>28000-1300</f>
        <v>26700</v>
      </c>
      <c r="K11" s="603"/>
      <c r="L11" s="604">
        <f>D11-K11</f>
        <v>425000</v>
      </c>
      <c r="M11" s="615">
        <v>0.8</v>
      </c>
      <c r="N11" s="237"/>
      <c r="O11" s="253"/>
      <c r="U11" s="253"/>
      <c r="V11" s="253"/>
    </row>
    <row r="12" spans="1:22" ht="24.75" x14ac:dyDescent="0.25">
      <c r="A12" s="696"/>
      <c r="B12" s="255" t="s">
        <v>57</v>
      </c>
      <c r="C12" s="589" t="s">
        <v>192</v>
      </c>
      <c r="D12" s="288">
        <f>SUM(E12+H12+I12+J12)</f>
        <v>510080</v>
      </c>
      <c r="E12" s="613">
        <f>SUM(F12+G12)</f>
        <v>413000</v>
      </c>
      <c r="F12" s="614">
        <v>272000</v>
      </c>
      <c r="G12" s="614">
        <v>141000</v>
      </c>
      <c r="H12" s="614">
        <v>93000</v>
      </c>
      <c r="I12" s="614">
        <f>ROUND((F12*0.015),0)</f>
        <v>4080</v>
      </c>
      <c r="J12" s="294"/>
      <c r="K12" s="610"/>
      <c r="L12" s="611">
        <f>D12-K12</f>
        <v>510080</v>
      </c>
      <c r="M12" s="616">
        <v>1</v>
      </c>
      <c r="N12" s="237"/>
      <c r="O12" s="253"/>
      <c r="U12" s="253"/>
      <c r="V12" s="253"/>
    </row>
    <row r="13" spans="1:22" x14ac:dyDescent="0.25">
      <c r="A13" s="696"/>
      <c r="B13" s="255" t="s">
        <v>58</v>
      </c>
      <c r="C13" s="287" t="s">
        <v>193</v>
      </c>
      <c r="D13" s="288">
        <f>SUM(E13+H13+I13+J13)</f>
        <v>263920</v>
      </c>
      <c r="E13" s="613">
        <f>SUM(F13+G13)</f>
        <v>0</v>
      </c>
      <c r="F13" s="614"/>
      <c r="G13" s="614"/>
      <c r="H13" s="614"/>
      <c r="I13" s="614"/>
      <c r="J13" s="294">
        <f>265000-1080</f>
        <v>263920</v>
      </c>
      <c r="K13" s="610"/>
      <c r="L13" s="611">
        <f>D13-K13</f>
        <v>263920</v>
      </c>
      <c r="M13" s="617"/>
      <c r="N13" s="237"/>
      <c r="O13" s="253"/>
      <c r="U13" s="253"/>
      <c r="V13" s="253"/>
    </row>
    <row r="14" spans="1:22" x14ac:dyDescent="0.25">
      <c r="A14" s="696"/>
      <c r="B14" s="256" t="s">
        <v>59</v>
      </c>
      <c r="C14" s="589" t="s">
        <v>194</v>
      </c>
      <c r="D14" s="288">
        <f>SUM(E14+H14+I14+J14)</f>
        <v>225000</v>
      </c>
      <c r="E14" s="613">
        <f>SUM(F14+G14)</f>
        <v>115000</v>
      </c>
      <c r="F14" s="614"/>
      <c r="G14" s="614">
        <v>115000</v>
      </c>
      <c r="H14" s="614">
        <v>20000</v>
      </c>
      <c r="I14" s="614"/>
      <c r="J14" s="614">
        <v>90000</v>
      </c>
      <c r="K14" s="618">
        <v>0</v>
      </c>
      <c r="L14" s="619">
        <f>D14-K14</f>
        <v>225000</v>
      </c>
      <c r="M14" s="620"/>
      <c r="N14" s="237"/>
      <c r="O14" s="253"/>
      <c r="U14" s="253"/>
      <c r="V14" s="253"/>
    </row>
    <row r="15" spans="1:22" ht="15.75" thickBot="1" x14ac:dyDescent="0.3">
      <c r="A15" s="697"/>
      <c r="B15" s="254"/>
      <c r="C15" s="588" t="s">
        <v>195</v>
      </c>
      <c r="D15" s="665">
        <f>SUM(D11:D14)</f>
        <v>1424000</v>
      </c>
      <c r="E15" s="666">
        <f t="shared" ref="E15:M15" si="1">SUM(E11:E14)</f>
        <v>848000</v>
      </c>
      <c r="F15" s="667">
        <f t="shared" si="1"/>
        <v>492000</v>
      </c>
      <c r="G15" s="667">
        <f t="shared" si="1"/>
        <v>356000</v>
      </c>
      <c r="H15" s="668">
        <f t="shared" si="1"/>
        <v>188000</v>
      </c>
      <c r="I15" s="668">
        <f t="shared" si="1"/>
        <v>7380</v>
      </c>
      <c r="J15" s="667">
        <f t="shared" si="1"/>
        <v>380620</v>
      </c>
      <c r="K15" s="669">
        <f t="shared" si="1"/>
        <v>0</v>
      </c>
      <c r="L15" s="665">
        <f t="shared" si="1"/>
        <v>1424000</v>
      </c>
      <c r="M15" s="670">
        <f t="shared" si="1"/>
        <v>1.8</v>
      </c>
      <c r="N15" s="237"/>
      <c r="O15" s="253"/>
      <c r="U15" s="253"/>
      <c r="V15" s="253"/>
    </row>
    <row r="16" spans="1:22" ht="15.75" thickTop="1" x14ac:dyDescent="0.25">
      <c r="A16" s="695" t="s">
        <v>66</v>
      </c>
      <c r="B16" s="250" t="s">
        <v>56</v>
      </c>
      <c r="C16" s="590" t="s">
        <v>196</v>
      </c>
      <c r="D16" s="606">
        <f t="shared" ref="D16:D33" si="2">E16+H16+I16+J16</f>
        <v>937500</v>
      </c>
      <c r="E16" s="607">
        <f t="shared" ref="E16:E33" si="3">SUM(F16+G16)</f>
        <v>370000</v>
      </c>
      <c r="F16" s="621">
        <v>0</v>
      </c>
      <c r="G16" s="621">
        <v>370000</v>
      </c>
      <c r="H16" s="621">
        <v>119000</v>
      </c>
      <c r="I16" s="621">
        <v>0</v>
      </c>
      <c r="J16" s="621">
        <v>448500</v>
      </c>
      <c r="K16" s="622">
        <v>275000</v>
      </c>
      <c r="L16" s="623">
        <f t="shared" ref="L16:L33" si="4">SUM(D16-K16)</f>
        <v>662500</v>
      </c>
      <c r="M16" s="624">
        <v>0</v>
      </c>
      <c r="N16" s="237"/>
      <c r="O16" s="253"/>
      <c r="U16" s="253"/>
      <c r="V16" s="253"/>
    </row>
    <row r="17" spans="1:22" x14ac:dyDescent="0.25">
      <c r="A17" s="696"/>
      <c r="B17" s="251" t="s">
        <v>57</v>
      </c>
      <c r="C17" s="590" t="s">
        <v>197</v>
      </c>
      <c r="D17" s="625">
        <f t="shared" si="2"/>
        <v>233500</v>
      </c>
      <c r="E17" s="626">
        <f t="shared" si="3"/>
        <v>130000</v>
      </c>
      <c r="F17" s="621">
        <v>0</v>
      </c>
      <c r="G17" s="621">
        <v>130000</v>
      </c>
      <c r="H17" s="621"/>
      <c r="I17" s="621">
        <v>0</v>
      </c>
      <c r="J17" s="621">
        <v>103500</v>
      </c>
      <c r="K17" s="627">
        <v>0</v>
      </c>
      <c r="L17" s="628">
        <f t="shared" si="4"/>
        <v>233500</v>
      </c>
      <c r="M17" s="629">
        <v>0</v>
      </c>
      <c r="N17" s="237"/>
      <c r="O17" s="253"/>
      <c r="U17" s="253"/>
      <c r="V17" s="253"/>
    </row>
    <row r="18" spans="1:22" x14ac:dyDescent="0.25">
      <c r="A18" s="696"/>
      <c r="B18" s="251" t="s">
        <v>58</v>
      </c>
      <c r="C18" s="590" t="s">
        <v>198</v>
      </c>
      <c r="D18" s="625">
        <f t="shared" si="2"/>
        <v>129000</v>
      </c>
      <c r="E18" s="626">
        <f t="shared" si="3"/>
        <v>100000</v>
      </c>
      <c r="F18" s="621">
        <v>0</v>
      </c>
      <c r="G18" s="621">
        <v>100000</v>
      </c>
      <c r="H18" s="621">
        <v>20400</v>
      </c>
      <c r="I18" s="621">
        <v>0</v>
      </c>
      <c r="J18" s="621">
        <v>8600</v>
      </c>
      <c r="K18" s="627">
        <v>0</v>
      </c>
      <c r="L18" s="628">
        <f t="shared" si="4"/>
        <v>129000</v>
      </c>
      <c r="M18" s="629">
        <v>0</v>
      </c>
      <c r="N18" s="237"/>
      <c r="O18" s="253"/>
      <c r="U18" s="253"/>
      <c r="V18" s="253"/>
    </row>
    <row r="19" spans="1:22" x14ac:dyDescent="0.25">
      <c r="A19" s="696"/>
      <c r="B19" s="251" t="s">
        <v>59</v>
      </c>
      <c r="C19" s="590" t="s">
        <v>199</v>
      </c>
      <c r="D19" s="625">
        <f t="shared" si="2"/>
        <v>401000</v>
      </c>
      <c r="E19" s="626">
        <f t="shared" si="3"/>
        <v>290000</v>
      </c>
      <c r="F19" s="621">
        <v>0</v>
      </c>
      <c r="G19" s="621">
        <v>290000</v>
      </c>
      <c r="H19" s="621">
        <v>20400</v>
      </c>
      <c r="I19" s="621">
        <v>0</v>
      </c>
      <c r="J19" s="621">
        <v>90600</v>
      </c>
      <c r="K19" s="627">
        <v>0</v>
      </c>
      <c r="L19" s="628">
        <f t="shared" si="4"/>
        <v>401000</v>
      </c>
      <c r="M19" s="629">
        <v>0</v>
      </c>
      <c r="N19" s="237"/>
      <c r="O19" s="253"/>
      <c r="U19" s="253"/>
      <c r="V19" s="253"/>
    </row>
    <row r="20" spans="1:22" x14ac:dyDescent="0.25">
      <c r="A20" s="696"/>
      <c r="B20" s="251" t="s">
        <v>60</v>
      </c>
      <c r="C20" s="590" t="s">
        <v>200</v>
      </c>
      <c r="D20" s="625">
        <f t="shared" si="2"/>
        <v>487700</v>
      </c>
      <c r="E20" s="626">
        <f t="shared" si="3"/>
        <v>202000</v>
      </c>
      <c r="F20" s="621">
        <v>0</v>
      </c>
      <c r="G20" s="621">
        <v>202000</v>
      </c>
      <c r="H20" s="621">
        <v>51000</v>
      </c>
      <c r="I20" s="621">
        <v>0</v>
      </c>
      <c r="J20" s="621">
        <v>234700</v>
      </c>
      <c r="K20" s="627">
        <v>0</v>
      </c>
      <c r="L20" s="628">
        <f t="shared" si="4"/>
        <v>487700</v>
      </c>
      <c r="M20" s="629">
        <v>0</v>
      </c>
      <c r="N20" s="237"/>
      <c r="O20" s="253"/>
      <c r="U20" s="253"/>
      <c r="V20" s="253"/>
    </row>
    <row r="21" spans="1:22" x14ac:dyDescent="0.25">
      <c r="A21" s="696"/>
      <c r="B21" s="251" t="s">
        <v>61</v>
      </c>
      <c r="C21" s="590" t="s">
        <v>201</v>
      </c>
      <c r="D21" s="625">
        <f t="shared" si="2"/>
        <v>300000</v>
      </c>
      <c r="E21" s="626">
        <f t="shared" si="3"/>
        <v>0</v>
      </c>
      <c r="F21" s="621">
        <v>0</v>
      </c>
      <c r="G21" s="621">
        <v>0</v>
      </c>
      <c r="H21" s="621">
        <v>0</v>
      </c>
      <c r="I21" s="621">
        <v>0</v>
      </c>
      <c r="J21" s="621">
        <v>300000</v>
      </c>
      <c r="K21" s="627">
        <v>0</v>
      </c>
      <c r="L21" s="628">
        <f t="shared" si="4"/>
        <v>300000</v>
      </c>
      <c r="M21" s="629">
        <v>0</v>
      </c>
      <c r="N21" s="237"/>
      <c r="O21" s="253"/>
      <c r="U21" s="253"/>
      <c r="V21" s="253"/>
    </row>
    <row r="22" spans="1:22" x14ac:dyDescent="0.25">
      <c r="A22" s="696"/>
      <c r="B22" s="251" t="s">
        <v>62</v>
      </c>
      <c r="C22" s="590" t="s">
        <v>202</v>
      </c>
      <c r="D22" s="625">
        <f t="shared" si="2"/>
        <v>250000</v>
      </c>
      <c r="E22" s="626">
        <f t="shared" si="3"/>
        <v>0</v>
      </c>
      <c r="F22" s="621">
        <v>0</v>
      </c>
      <c r="G22" s="621">
        <v>0</v>
      </c>
      <c r="H22" s="621">
        <v>0</v>
      </c>
      <c r="I22" s="621">
        <v>0</v>
      </c>
      <c r="J22" s="621">
        <v>250000</v>
      </c>
      <c r="K22" s="627">
        <v>0</v>
      </c>
      <c r="L22" s="628">
        <f t="shared" si="4"/>
        <v>250000</v>
      </c>
      <c r="M22" s="629">
        <v>0</v>
      </c>
      <c r="N22" s="237"/>
      <c r="O22" s="253"/>
      <c r="U22" s="253"/>
      <c r="V22" s="253"/>
    </row>
    <row r="23" spans="1:22" x14ac:dyDescent="0.25">
      <c r="A23" s="696"/>
      <c r="B23" s="251" t="s">
        <v>63</v>
      </c>
      <c r="C23" s="590" t="s">
        <v>203</v>
      </c>
      <c r="D23" s="625">
        <f t="shared" si="2"/>
        <v>251300</v>
      </c>
      <c r="E23" s="626">
        <f t="shared" si="3"/>
        <v>90000</v>
      </c>
      <c r="F23" s="621">
        <v>0</v>
      </c>
      <c r="G23" s="621">
        <v>90000</v>
      </c>
      <c r="H23" s="621">
        <v>11000</v>
      </c>
      <c r="I23" s="621">
        <v>0</v>
      </c>
      <c r="J23" s="621">
        <v>150300</v>
      </c>
      <c r="K23" s="627">
        <v>0</v>
      </c>
      <c r="L23" s="628">
        <f t="shared" si="4"/>
        <v>251300</v>
      </c>
      <c r="M23" s="629">
        <v>0</v>
      </c>
      <c r="N23" s="237"/>
      <c r="O23" s="253"/>
      <c r="U23" s="253"/>
      <c r="V23" s="253"/>
    </row>
    <row r="24" spans="1:22" ht="24.75" x14ac:dyDescent="0.25">
      <c r="A24" s="696"/>
      <c r="B24" s="251" t="s">
        <v>185</v>
      </c>
      <c r="C24" s="590" t="s">
        <v>204</v>
      </c>
      <c r="D24" s="625">
        <f t="shared" si="2"/>
        <v>276000</v>
      </c>
      <c r="E24" s="626">
        <f t="shared" si="3"/>
        <v>221000</v>
      </c>
      <c r="F24" s="621">
        <v>0</v>
      </c>
      <c r="G24" s="621">
        <v>221000</v>
      </c>
      <c r="H24" s="621">
        <v>0</v>
      </c>
      <c r="I24" s="621">
        <v>0</v>
      </c>
      <c r="J24" s="621">
        <v>55000</v>
      </c>
      <c r="K24" s="627">
        <v>0</v>
      </c>
      <c r="L24" s="628">
        <f t="shared" si="4"/>
        <v>276000</v>
      </c>
      <c r="M24" s="629">
        <v>0</v>
      </c>
      <c r="N24" s="237"/>
      <c r="O24" s="253"/>
      <c r="U24" s="253"/>
      <c r="V24" s="253"/>
    </row>
    <row r="25" spans="1:22" x14ac:dyDescent="0.25">
      <c r="A25" s="696"/>
      <c r="B25" s="251" t="s">
        <v>186</v>
      </c>
      <c r="C25" s="590" t="s">
        <v>205</v>
      </c>
      <c r="D25" s="625">
        <f t="shared" si="2"/>
        <v>170000</v>
      </c>
      <c r="E25" s="626">
        <f t="shared" si="3"/>
        <v>30000</v>
      </c>
      <c r="F25" s="621">
        <v>0</v>
      </c>
      <c r="G25" s="621">
        <v>30000</v>
      </c>
      <c r="H25" s="621">
        <v>0</v>
      </c>
      <c r="I25" s="621">
        <v>0</v>
      </c>
      <c r="J25" s="621">
        <v>140000</v>
      </c>
      <c r="K25" s="627">
        <v>15000</v>
      </c>
      <c r="L25" s="628">
        <f t="shared" si="4"/>
        <v>155000</v>
      </c>
      <c r="M25" s="629">
        <v>0</v>
      </c>
      <c r="N25" s="237"/>
      <c r="O25" s="253"/>
      <c r="U25" s="253"/>
      <c r="V25" s="253"/>
    </row>
    <row r="26" spans="1:22" x14ac:dyDescent="0.25">
      <c r="A26" s="696"/>
      <c r="B26" s="251" t="s">
        <v>206</v>
      </c>
      <c r="C26" s="590" t="s">
        <v>207</v>
      </c>
      <c r="D26" s="625">
        <f t="shared" si="2"/>
        <v>220000</v>
      </c>
      <c r="E26" s="626">
        <f t="shared" si="3"/>
        <v>0</v>
      </c>
      <c r="F26" s="621">
        <v>0</v>
      </c>
      <c r="G26" s="621">
        <v>0</v>
      </c>
      <c r="H26" s="621">
        <v>0</v>
      </c>
      <c r="I26" s="621">
        <v>0</v>
      </c>
      <c r="J26" s="621">
        <v>220000</v>
      </c>
      <c r="K26" s="627">
        <v>68000</v>
      </c>
      <c r="L26" s="628">
        <f t="shared" si="4"/>
        <v>152000</v>
      </c>
      <c r="M26" s="629">
        <v>0</v>
      </c>
      <c r="N26" s="237"/>
      <c r="O26" s="253"/>
      <c r="U26" s="253"/>
      <c r="V26" s="253"/>
    </row>
    <row r="27" spans="1:22" x14ac:dyDescent="0.25">
      <c r="A27" s="696"/>
      <c r="B27" s="251" t="s">
        <v>208</v>
      </c>
      <c r="C27" s="590" t="s">
        <v>209</v>
      </c>
      <c r="D27" s="625">
        <f t="shared" si="2"/>
        <v>250000</v>
      </c>
      <c r="E27" s="626">
        <f t="shared" si="3"/>
        <v>50000</v>
      </c>
      <c r="F27" s="621">
        <v>0</v>
      </c>
      <c r="G27" s="621">
        <v>50000</v>
      </c>
      <c r="H27" s="621">
        <v>0</v>
      </c>
      <c r="I27" s="621">
        <v>0</v>
      </c>
      <c r="J27" s="621">
        <v>200000</v>
      </c>
      <c r="K27" s="627">
        <v>40000</v>
      </c>
      <c r="L27" s="628">
        <f t="shared" si="4"/>
        <v>210000</v>
      </c>
      <c r="M27" s="629">
        <v>0</v>
      </c>
      <c r="N27" s="237"/>
      <c r="O27" s="253"/>
      <c r="U27" s="253"/>
      <c r="V27" s="253"/>
    </row>
    <row r="28" spans="1:22" x14ac:dyDescent="0.25">
      <c r="A28" s="696"/>
      <c r="B28" s="251" t="s">
        <v>210</v>
      </c>
      <c r="C28" s="590" t="s">
        <v>211</v>
      </c>
      <c r="D28" s="625">
        <f t="shared" si="2"/>
        <v>678000</v>
      </c>
      <c r="E28" s="626">
        <f t="shared" si="3"/>
        <v>523000</v>
      </c>
      <c r="F28" s="621">
        <v>0</v>
      </c>
      <c r="G28" s="621">
        <v>523000</v>
      </c>
      <c r="H28" s="621">
        <v>0</v>
      </c>
      <c r="I28" s="621">
        <v>0</v>
      </c>
      <c r="J28" s="621">
        <v>155000</v>
      </c>
      <c r="K28" s="627">
        <v>0</v>
      </c>
      <c r="L28" s="628">
        <f t="shared" si="4"/>
        <v>678000</v>
      </c>
      <c r="M28" s="629">
        <v>0</v>
      </c>
      <c r="N28" s="237"/>
      <c r="O28" s="253"/>
      <c r="U28" s="253"/>
      <c r="V28" s="253"/>
    </row>
    <row r="29" spans="1:22" x14ac:dyDescent="0.25">
      <c r="A29" s="696"/>
      <c r="B29" s="251" t="s">
        <v>212</v>
      </c>
      <c r="C29" s="590" t="s">
        <v>213</v>
      </c>
      <c r="D29" s="625">
        <f t="shared" si="2"/>
        <v>0</v>
      </c>
      <c r="E29" s="626">
        <f t="shared" si="3"/>
        <v>0</v>
      </c>
      <c r="F29" s="621">
        <v>0</v>
      </c>
      <c r="G29" s="621">
        <v>0</v>
      </c>
      <c r="H29" s="621">
        <v>0</v>
      </c>
      <c r="I29" s="621">
        <v>0</v>
      </c>
      <c r="J29" s="621">
        <v>0</v>
      </c>
      <c r="K29" s="627">
        <v>0</v>
      </c>
      <c r="L29" s="628">
        <f t="shared" si="4"/>
        <v>0</v>
      </c>
      <c r="M29" s="629">
        <v>0</v>
      </c>
      <c r="N29" s="237"/>
      <c r="O29" s="253"/>
      <c r="U29" s="253"/>
      <c r="V29" s="253"/>
    </row>
    <row r="30" spans="1:22" x14ac:dyDescent="0.25">
      <c r="A30" s="696"/>
      <c r="B30" s="251" t="s">
        <v>214</v>
      </c>
      <c r="C30" s="590" t="s">
        <v>215</v>
      </c>
      <c r="D30" s="625">
        <f t="shared" si="2"/>
        <v>50000</v>
      </c>
      <c r="E30" s="626">
        <f t="shared" si="3"/>
        <v>20000</v>
      </c>
      <c r="F30" s="621">
        <v>0</v>
      </c>
      <c r="G30" s="621">
        <v>20000</v>
      </c>
      <c r="H30" s="621">
        <v>0</v>
      </c>
      <c r="I30" s="621">
        <v>0</v>
      </c>
      <c r="J30" s="621">
        <v>30000</v>
      </c>
      <c r="K30" s="627">
        <v>0</v>
      </c>
      <c r="L30" s="628">
        <f>SUM(D30-K30)</f>
        <v>50000</v>
      </c>
      <c r="M30" s="629">
        <v>0</v>
      </c>
      <c r="N30" s="237"/>
      <c r="O30" s="253"/>
      <c r="U30" s="253"/>
      <c r="V30" s="253"/>
    </row>
    <row r="31" spans="1:22" x14ac:dyDescent="0.25">
      <c r="A31" s="696"/>
      <c r="B31" s="251" t="s">
        <v>216</v>
      </c>
      <c r="C31" s="590" t="s">
        <v>217</v>
      </c>
      <c r="D31" s="625">
        <f t="shared" si="2"/>
        <v>350000</v>
      </c>
      <c r="E31" s="626">
        <f t="shared" si="3"/>
        <v>250000</v>
      </c>
      <c r="F31" s="621">
        <v>0</v>
      </c>
      <c r="G31" s="621">
        <v>250000</v>
      </c>
      <c r="H31" s="621">
        <v>0</v>
      </c>
      <c r="I31" s="621">
        <v>0</v>
      </c>
      <c r="J31" s="621">
        <v>100000</v>
      </c>
      <c r="K31" s="627">
        <v>0</v>
      </c>
      <c r="L31" s="628">
        <f>SUM(D31-K31)</f>
        <v>350000</v>
      </c>
      <c r="M31" s="629">
        <v>0</v>
      </c>
      <c r="N31" s="237"/>
      <c r="O31" s="253"/>
      <c r="U31" s="253"/>
      <c r="V31" s="253"/>
    </row>
    <row r="32" spans="1:22" x14ac:dyDescent="0.25">
      <c r="A32" s="696"/>
      <c r="B32" s="251" t="s">
        <v>218</v>
      </c>
      <c r="C32" s="590" t="s">
        <v>219</v>
      </c>
      <c r="D32" s="625">
        <f t="shared" si="2"/>
        <v>250000</v>
      </c>
      <c r="E32" s="626">
        <f t="shared" si="3"/>
        <v>190000</v>
      </c>
      <c r="F32" s="621">
        <v>0</v>
      </c>
      <c r="G32" s="621">
        <v>190000</v>
      </c>
      <c r="H32" s="621">
        <v>0</v>
      </c>
      <c r="I32" s="621">
        <v>0</v>
      </c>
      <c r="J32" s="621">
        <v>60000</v>
      </c>
      <c r="K32" s="627">
        <v>0</v>
      </c>
      <c r="L32" s="628">
        <f>SUM(D32-K32)</f>
        <v>250000</v>
      </c>
      <c r="M32" s="629">
        <v>0</v>
      </c>
      <c r="N32" s="237"/>
      <c r="O32" s="253"/>
      <c r="U32" s="253"/>
      <c r="V32" s="253"/>
    </row>
    <row r="33" spans="1:22" x14ac:dyDescent="0.25">
      <c r="A33" s="696"/>
      <c r="B33" s="251" t="s">
        <v>220</v>
      </c>
      <c r="C33" s="590" t="s">
        <v>221</v>
      </c>
      <c r="D33" s="625">
        <f t="shared" si="2"/>
        <v>313000</v>
      </c>
      <c r="E33" s="626">
        <f t="shared" si="3"/>
        <v>230000</v>
      </c>
      <c r="F33" s="621">
        <v>0</v>
      </c>
      <c r="G33" s="621">
        <v>230000</v>
      </c>
      <c r="H33" s="621">
        <v>63000</v>
      </c>
      <c r="I33" s="621">
        <v>0</v>
      </c>
      <c r="J33" s="621">
        <v>20000</v>
      </c>
      <c r="K33" s="627">
        <v>0</v>
      </c>
      <c r="L33" s="628">
        <f t="shared" si="4"/>
        <v>313000</v>
      </c>
      <c r="M33" s="629">
        <v>0</v>
      </c>
      <c r="N33" s="237"/>
      <c r="O33" s="253"/>
      <c r="U33" s="253"/>
      <c r="V33" s="253"/>
    </row>
    <row r="34" spans="1:22" ht="15.75" thickBot="1" x14ac:dyDescent="0.3">
      <c r="A34" s="697"/>
      <c r="B34" s="254"/>
      <c r="C34" s="588" t="s">
        <v>222</v>
      </c>
      <c r="D34" s="677">
        <f t="shared" ref="D34:M34" si="5">SUM(D16:D33)</f>
        <v>5547000</v>
      </c>
      <c r="E34" s="678">
        <f t="shared" si="5"/>
        <v>2696000</v>
      </c>
      <c r="F34" s="679">
        <f t="shared" si="5"/>
        <v>0</v>
      </c>
      <c r="G34" s="679">
        <f t="shared" si="5"/>
        <v>2696000</v>
      </c>
      <c r="H34" s="679">
        <f t="shared" si="5"/>
        <v>284800</v>
      </c>
      <c r="I34" s="679">
        <f t="shared" si="5"/>
        <v>0</v>
      </c>
      <c r="J34" s="680">
        <f t="shared" si="5"/>
        <v>2566200</v>
      </c>
      <c r="K34" s="681">
        <f t="shared" si="5"/>
        <v>398000</v>
      </c>
      <c r="L34" s="677">
        <f t="shared" si="5"/>
        <v>5149000</v>
      </c>
      <c r="M34" s="682">
        <f t="shared" si="5"/>
        <v>0</v>
      </c>
      <c r="N34" s="259"/>
      <c r="O34" s="253"/>
      <c r="U34" s="253"/>
      <c r="V34" s="253"/>
    </row>
    <row r="35" spans="1:22" ht="25.5" thickTop="1" x14ac:dyDescent="0.25">
      <c r="A35" s="695" t="s">
        <v>70</v>
      </c>
      <c r="B35" s="250" t="s">
        <v>56</v>
      </c>
      <c r="C35" s="590" t="s">
        <v>223</v>
      </c>
      <c r="D35" s="606">
        <f t="shared" ref="D35:D42" si="6">E35+H35+I35+J35</f>
        <v>4699000</v>
      </c>
      <c r="E35" s="607">
        <f t="shared" ref="E35:E42" si="7">SUM(F35+G35)</f>
        <v>3404000</v>
      </c>
      <c r="F35" s="621"/>
      <c r="G35" s="621">
        <v>3404000</v>
      </c>
      <c r="H35" s="621">
        <v>1158000</v>
      </c>
      <c r="I35" s="621"/>
      <c r="J35" s="621">
        <v>137000</v>
      </c>
      <c r="K35" s="630"/>
      <c r="L35" s="631">
        <f>SUM(D35-K35)</f>
        <v>4699000</v>
      </c>
      <c r="M35" s="632"/>
      <c r="O35" s="253"/>
      <c r="U35" s="253"/>
      <c r="V35" s="253"/>
    </row>
    <row r="36" spans="1:22" x14ac:dyDescent="0.25">
      <c r="A36" s="696"/>
      <c r="B36" s="251" t="s">
        <v>224</v>
      </c>
      <c r="C36" s="590" t="s">
        <v>225</v>
      </c>
      <c r="D36" s="606">
        <f t="shared" si="6"/>
        <v>150000</v>
      </c>
      <c r="E36" s="607">
        <f t="shared" si="7"/>
        <v>128000</v>
      </c>
      <c r="F36" s="621"/>
      <c r="G36" s="621">
        <v>128000</v>
      </c>
      <c r="H36" s="621"/>
      <c r="I36" s="621"/>
      <c r="J36" s="621">
        <v>22000</v>
      </c>
      <c r="K36" s="633"/>
      <c r="L36" s="634">
        <f>SUM(D36-K36)</f>
        <v>150000</v>
      </c>
      <c r="M36" s="635"/>
      <c r="O36" s="253"/>
      <c r="U36" s="253"/>
      <c r="V36" s="253"/>
    </row>
    <row r="37" spans="1:22" x14ac:dyDescent="0.25">
      <c r="A37" s="696"/>
      <c r="B37" s="251" t="s">
        <v>226</v>
      </c>
      <c r="C37" s="590" t="s">
        <v>227</v>
      </c>
      <c r="D37" s="606">
        <f t="shared" si="6"/>
        <v>2145900</v>
      </c>
      <c r="E37" s="607">
        <f t="shared" si="7"/>
        <v>389500</v>
      </c>
      <c r="F37" s="621"/>
      <c r="G37" s="621">
        <v>389500</v>
      </c>
      <c r="H37" s="621"/>
      <c r="I37" s="621"/>
      <c r="J37" s="621">
        <f>1756700-300</f>
        <v>1756400</v>
      </c>
      <c r="K37" s="633"/>
      <c r="L37" s="634">
        <f t="shared" ref="L37:L42" si="8">SUM(D37-K37)</f>
        <v>2145900</v>
      </c>
      <c r="M37" s="635"/>
      <c r="O37" s="253"/>
      <c r="U37" s="253"/>
      <c r="V37" s="253"/>
    </row>
    <row r="38" spans="1:22" x14ac:dyDescent="0.25">
      <c r="A38" s="696"/>
      <c r="B38" s="251" t="s">
        <v>228</v>
      </c>
      <c r="C38" s="590" t="s">
        <v>229</v>
      </c>
      <c r="D38" s="606">
        <f t="shared" si="6"/>
        <v>100000</v>
      </c>
      <c r="E38" s="607">
        <f t="shared" si="7"/>
        <v>78000</v>
      </c>
      <c r="F38" s="621"/>
      <c r="G38" s="621">
        <v>78000</v>
      </c>
      <c r="H38" s="621"/>
      <c r="I38" s="621"/>
      <c r="J38" s="621">
        <v>22000</v>
      </c>
      <c r="K38" s="633"/>
      <c r="L38" s="634">
        <f t="shared" si="8"/>
        <v>100000</v>
      </c>
      <c r="M38" s="635"/>
      <c r="O38" s="253"/>
      <c r="U38" s="253"/>
      <c r="V38" s="253"/>
    </row>
    <row r="39" spans="1:22" ht="15" customHeight="1" x14ac:dyDescent="0.25">
      <c r="A39" s="696"/>
      <c r="B39" s="251" t="s">
        <v>230</v>
      </c>
      <c r="C39" s="590" t="s">
        <v>231</v>
      </c>
      <c r="D39" s="606">
        <f t="shared" si="6"/>
        <v>145000</v>
      </c>
      <c r="E39" s="607">
        <f t="shared" si="7"/>
        <v>90000</v>
      </c>
      <c r="F39" s="621"/>
      <c r="G39" s="621">
        <v>90000</v>
      </c>
      <c r="H39" s="621"/>
      <c r="I39" s="621"/>
      <c r="J39" s="621">
        <v>55000</v>
      </c>
      <c r="K39" s="633"/>
      <c r="L39" s="634">
        <f t="shared" si="8"/>
        <v>145000</v>
      </c>
      <c r="M39" s="635"/>
      <c r="O39" s="253"/>
      <c r="U39" s="253"/>
      <c r="V39" s="253"/>
    </row>
    <row r="40" spans="1:22" x14ac:dyDescent="0.25">
      <c r="A40" s="696"/>
      <c r="B40" s="251" t="s">
        <v>232</v>
      </c>
      <c r="C40" s="590" t="s">
        <v>233</v>
      </c>
      <c r="D40" s="606">
        <f t="shared" si="6"/>
        <v>481950</v>
      </c>
      <c r="E40" s="607">
        <f t="shared" si="7"/>
        <v>228500</v>
      </c>
      <c r="F40" s="621"/>
      <c r="G40" s="621">
        <v>228500</v>
      </c>
      <c r="H40" s="621"/>
      <c r="I40" s="621"/>
      <c r="J40" s="621">
        <v>253450</v>
      </c>
      <c r="K40" s="633"/>
      <c r="L40" s="634">
        <f t="shared" si="8"/>
        <v>481950</v>
      </c>
      <c r="M40" s="635"/>
      <c r="O40" s="253"/>
      <c r="U40" s="253"/>
      <c r="V40" s="253"/>
    </row>
    <row r="41" spans="1:22" x14ac:dyDescent="0.25">
      <c r="A41" s="696"/>
      <c r="B41" s="251" t="s">
        <v>234</v>
      </c>
      <c r="C41" s="590" t="s">
        <v>235</v>
      </c>
      <c r="D41" s="606">
        <f t="shared" si="6"/>
        <v>285200</v>
      </c>
      <c r="E41" s="607">
        <f t="shared" si="7"/>
        <v>215000</v>
      </c>
      <c r="F41" s="621"/>
      <c r="G41" s="621">
        <v>215000</v>
      </c>
      <c r="H41" s="621"/>
      <c r="I41" s="621"/>
      <c r="J41" s="621">
        <v>70200</v>
      </c>
      <c r="K41" s="633"/>
      <c r="L41" s="634">
        <f t="shared" si="8"/>
        <v>285200</v>
      </c>
      <c r="M41" s="635"/>
      <c r="O41" s="253"/>
      <c r="U41" s="253"/>
      <c r="V41" s="253"/>
    </row>
    <row r="42" spans="1:22" x14ac:dyDescent="0.25">
      <c r="A42" s="696"/>
      <c r="B42" s="251" t="s">
        <v>236</v>
      </c>
      <c r="C42" s="590" t="s">
        <v>237</v>
      </c>
      <c r="D42" s="606">
        <f t="shared" si="6"/>
        <v>200000</v>
      </c>
      <c r="E42" s="607">
        <f t="shared" si="7"/>
        <v>135000</v>
      </c>
      <c r="F42" s="621"/>
      <c r="G42" s="621">
        <v>135000</v>
      </c>
      <c r="H42" s="621"/>
      <c r="I42" s="621"/>
      <c r="J42" s="621">
        <v>65000</v>
      </c>
      <c r="K42" s="633"/>
      <c r="L42" s="634">
        <f t="shared" si="8"/>
        <v>200000</v>
      </c>
      <c r="M42" s="635"/>
      <c r="O42" s="253"/>
      <c r="U42" s="253"/>
      <c r="V42" s="253"/>
    </row>
    <row r="43" spans="1:22" ht="15.75" thickBot="1" x14ac:dyDescent="0.3">
      <c r="A43" s="697"/>
      <c r="B43" s="254"/>
      <c r="C43" s="588" t="s">
        <v>238</v>
      </c>
      <c r="D43" s="665">
        <f t="shared" ref="D43:M43" si="9">SUM(D35:D42)</f>
        <v>8207050</v>
      </c>
      <c r="E43" s="666">
        <f t="shared" si="9"/>
        <v>4668000</v>
      </c>
      <c r="F43" s="667">
        <f t="shared" si="9"/>
        <v>0</v>
      </c>
      <c r="G43" s="667">
        <f t="shared" si="9"/>
        <v>4668000</v>
      </c>
      <c r="H43" s="668">
        <f t="shared" si="9"/>
        <v>1158000</v>
      </c>
      <c r="I43" s="668">
        <f t="shared" si="9"/>
        <v>0</v>
      </c>
      <c r="J43" s="667">
        <f t="shared" si="9"/>
        <v>2381050</v>
      </c>
      <c r="K43" s="669">
        <f t="shared" si="9"/>
        <v>0</v>
      </c>
      <c r="L43" s="665">
        <f t="shared" si="9"/>
        <v>8207050</v>
      </c>
      <c r="M43" s="670">
        <f t="shared" si="9"/>
        <v>0</v>
      </c>
      <c r="O43" s="253"/>
      <c r="U43" s="253"/>
      <c r="V43" s="253"/>
    </row>
    <row r="44" spans="1:22" ht="16.5" thickTop="1" thickBot="1" x14ac:dyDescent="0.3">
      <c r="A44" s="695" t="s">
        <v>89</v>
      </c>
      <c r="B44" s="250" t="s">
        <v>56</v>
      </c>
      <c r="C44" s="591" t="s">
        <v>239</v>
      </c>
      <c r="D44" s="636">
        <f>SUM(E44+H44+I44+J44)</f>
        <v>150000</v>
      </c>
      <c r="E44" s="637">
        <f>SUM(F44:G44)</f>
        <v>75000</v>
      </c>
      <c r="F44" s="638"/>
      <c r="G44" s="639">
        <v>75000</v>
      </c>
      <c r="H44" s="640"/>
      <c r="I44" s="640"/>
      <c r="J44" s="638">
        <v>75000</v>
      </c>
      <c r="K44" s="636">
        <v>0</v>
      </c>
      <c r="L44" s="641">
        <f>SUM(D44-K44)</f>
        <v>150000</v>
      </c>
      <c r="M44" s="642"/>
      <c r="O44" s="253"/>
      <c r="U44" s="253"/>
      <c r="V44" s="253"/>
    </row>
    <row r="45" spans="1:22" ht="24" customHeight="1" thickBot="1" x14ac:dyDescent="0.3">
      <c r="A45" s="697"/>
      <c r="B45" s="254"/>
      <c r="C45" s="588" t="s">
        <v>240</v>
      </c>
      <c r="D45" s="665">
        <f t="shared" ref="D45:M45" si="10">SUM(D44:D44)</f>
        <v>150000</v>
      </c>
      <c r="E45" s="666">
        <f t="shared" si="10"/>
        <v>75000</v>
      </c>
      <c r="F45" s="667">
        <f t="shared" si="10"/>
        <v>0</v>
      </c>
      <c r="G45" s="667">
        <f t="shared" si="10"/>
        <v>75000</v>
      </c>
      <c r="H45" s="668">
        <f t="shared" si="10"/>
        <v>0</v>
      </c>
      <c r="I45" s="668">
        <f t="shared" si="10"/>
        <v>0</v>
      </c>
      <c r="J45" s="667">
        <f t="shared" si="10"/>
        <v>75000</v>
      </c>
      <c r="K45" s="669">
        <f t="shared" si="10"/>
        <v>0</v>
      </c>
      <c r="L45" s="665">
        <f t="shared" si="10"/>
        <v>150000</v>
      </c>
      <c r="M45" s="670">
        <f t="shared" si="10"/>
        <v>0</v>
      </c>
      <c r="O45" s="253"/>
      <c r="U45" s="253"/>
      <c r="V45" s="253"/>
    </row>
    <row r="46" spans="1:22" ht="15.75" thickTop="1" x14ac:dyDescent="0.25">
      <c r="A46" s="695" t="s">
        <v>68</v>
      </c>
      <c r="B46" s="250" t="s">
        <v>56</v>
      </c>
      <c r="C46" s="592" t="s">
        <v>241</v>
      </c>
      <c r="D46" s="603">
        <f>SUM(E46+H46+I46+J46)</f>
        <v>43010000</v>
      </c>
      <c r="E46" s="643">
        <f>F46+G46</f>
        <v>0</v>
      </c>
      <c r="F46" s="644">
        <v>0</v>
      </c>
      <c r="G46" s="644">
        <v>0</v>
      </c>
      <c r="H46" s="645">
        <v>0</v>
      </c>
      <c r="I46" s="645">
        <v>0</v>
      </c>
      <c r="J46" s="644">
        <v>43010000</v>
      </c>
      <c r="K46" s="603">
        <v>0</v>
      </c>
      <c r="L46" s="604">
        <f>D46-K46</f>
        <v>43010000</v>
      </c>
      <c r="M46" s="605">
        <v>0</v>
      </c>
      <c r="O46" s="253"/>
      <c r="U46" s="253"/>
      <c r="V46" s="253"/>
    </row>
    <row r="47" spans="1:22" ht="15.75" thickBot="1" x14ac:dyDescent="0.3">
      <c r="A47" s="696"/>
      <c r="B47" s="260"/>
      <c r="C47" s="588" t="s">
        <v>242</v>
      </c>
      <c r="D47" s="671">
        <f>D46</f>
        <v>43010000</v>
      </c>
      <c r="E47" s="672">
        <f t="shared" ref="E47:M47" si="11">E46</f>
        <v>0</v>
      </c>
      <c r="F47" s="673">
        <f t="shared" si="11"/>
        <v>0</v>
      </c>
      <c r="G47" s="673">
        <f t="shared" si="11"/>
        <v>0</v>
      </c>
      <c r="H47" s="674">
        <f t="shared" si="11"/>
        <v>0</v>
      </c>
      <c r="I47" s="674"/>
      <c r="J47" s="673">
        <f t="shared" si="11"/>
        <v>43010000</v>
      </c>
      <c r="K47" s="671">
        <f t="shared" si="11"/>
        <v>0</v>
      </c>
      <c r="L47" s="675">
        <f t="shared" si="11"/>
        <v>43010000</v>
      </c>
      <c r="M47" s="676">
        <f t="shared" si="11"/>
        <v>0</v>
      </c>
      <c r="O47" s="253"/>
      <c r="U47" s="253"/>
      <c r="V47" s="253"/>
    </row>
    <row r="48" spans="1:22" ht="15.75" thickTop="1" x14ac:dyDescent="0.25">
      <c r="A48" s="261"/>
      <c r="B48" s="262"/>
      <c r="C48" s="593" t="s">
        <v>380</v>
      </c>
      <c r="D48" s="646">
        <f t="shared" ref="D48:M48" si="12">D10+D34+D15+D43+D45+D47</f>
        <v>60771050</v>
      </c>
      <c r="E48" s="647">
        <f t="shared" si="12"/>
        <v>8665448</v>
      </c>
      <c r="F48" s="648">
        <f t="shared" si="12"/>
        <v>620448</v>
      </c>
      <c r="G48" s="648">
        <f t="shared" si="12"/>
        <v>8045000</v>
      </c>
      <c r="H48" s="648">
        <f t="shared" si="12"/>
        <v>1759472</v>
      </c>
      <c r="I48" s="648">
        <f t="shared" si="12"/>
        <v>9307</v>
      </c>
      <c r="J48" s="649">
        <f t="shared" si="12"/>
        <v>50336823</v>
      </c>
      <c r="K48" s="646">
        <f t="shared" si="12"/>
        <v>398000</v>
      </c>
      <c r="L48" s="646">
        <f t="shared" si="12"/>
        <v>60373050</v>
      </c>
      <c r="M48" s="650">
        <f t="shared" si="12"/>
        <v>2.4700000000000002</v>
      </c>
      <c r="O48" s="253"/>
      <c r="U48" s="253"/>
      <c r="V48" s="253"/>
    </row>
    <row r="49" spans="3:13" x14ac:dyDescent="0.25">
      <c r="L49" s="253"/>
    </row>
    <row r="50" spans="3:13" x14ac:dyDescent="0.25">
      <c r="C50" t="s">
        <v>243</v>
      </c>
      <c r="J50" s="253"/>
      <c r="L50" s="253"/>
    </row>
    <row r="51" spans="3:13" x14ac:dyDescent="0.25">
      <c r="I51" s="253"/>
      <c r="L51" s="253"/>
      <c r="M51" s="263"/>
    </row>
    <row r="53" spans="3:13" x14ac:dyDescent="0.25">
      <c r="D53" s="253"/>
      <c r="E53" s="253"/>
      <c r="F53" s="253"/>
      <c r="G53" s="253"/>
      <c r="H53" s="253"/>
      <c r="I53" s="253"/>
      <c r="J53" s="253"/>
    </row>
  </sheetData>
  <mergeCells count="17">
    <mergeCell ref="A8:A10"/>
    <mergeCell ref="A4:A7"/>
    <mergeCell ref="B4:B7"/>
    <mergeCell ref="C4:C7"/>
    <mergeCell ref="D4:D6"/>
    <mergeCell ref="M4:M6"/>
    <mergeCell ref="E5:E6"/>
    <mergeCell ref="H5:H6"/>
    <mergeCell ref="I5:I6"/>
    <mergeCell ref="J5:J6"/>
    <mergeCell ref="K4:K6"/>
    <mergeCell ref="L4:L6"/>
    <mergeCell ref="A11:A15"/>
    <mergeCell ref="A16:A34"/>
    <mergeCell ref="A35:A43"/>
    <mergeCell ref="A44:A45"/>
    <mergeCell ref="A46:A47"/>
  </mergeCells>
  <printOptions horizontalCentered="1"/>
  <pageMargins left="0.70866141732283472" right="0.70866141732283472" top="0.78740157480314965" bottom="0.78740157480314965" header="0.51181102362204722" footer="0.31496062992125984"/>
  <pageSetup paperSize="9" scale="60" orientation="landscape" r:id="rId1"/>
  <headerFooter alignWithMargins="0">
    <oddHeader>&amp;RKapitola C.VI
&amp;"-,Tučné"Tabulka č. 1b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workbookViewId="0">
      <selection activeCell="H22" sqref="H22"/>
    </sheetView>
  </sheetViews>
  <sheetFormatPr defaultRowHeight="15" x14ac:dyDescent="0.25"/>
  <cols>
    <col min="1" max="1" width="3" customWidth="1"/>
    <col min="2" max="2" width="43.28515625" customWidth="1"/>
    <col min="3" max="3" width="12.7109375" customWidth="1"/>
    <col min="4" max="4" width="10.5703125" customWidth="1"/>
    <col min="5" max="5" width="10.7109375" customWidth="1"/>
    <col min="6" max="6" width="10.5703125" customWidth="1"/>
    <col min="7" max="7" width="9.85546875" bestFit="1" customWidth="1"/>
    <col min="8" max="8" width="9.140625" customWidth="1"/>
    <col min="9" max="9" width="11.140625" customWidth="1"/>
    <col min="10" max="10" width="7.5703125" customWidth="1"/>
    <col min="11" max="11" width="11.5703125" customWidth="1"/>
    <col min="12" max="12" width="6.140625" customWidth="1"/>
    <col min="13" max="13" width="16.7109375" customWidth="1"/>
    <col min="257" max="257" width="3" customWidth="1"/>
    <col min="258" max="258" width="43.28515625" customWidth="1"/>
    <col min="259" max="259" width="12.7109375" customWidth="1"/>
    <col min="260" max="260" width="10.5703125" customWidth="1"/>
    <col min="261" max="261" width="10.7109375" customWidth="1"/>
    <col min="262" max="262" width="10.5703125" customWidth="1"/>
    <col min="263" max="263" width="9.85546875" bestFit="1" customWidth="1"/>
    <col min="264" max="264" width="9.140625" customWidth="1"/>
    <col min="265" max="265" width="11.140625" customWidth="1"/>
    <col min="266" max="266" width="7.5703125" customWidth="1"/>
    <col min="267" max="267" width="11.5703125" customWidth="1"/>
    <col min="268" max="268" width="6.140625" customWidth="1"/>
    <col min="269" max="269" width="16.7109375" customWidth="1"/>
    <col min="513" max="513" width="3" customWidth="1"/>
    <col min="514" max="514" width="43.28515625" customWidth="1"/>
    <col min="515" max="515" width="12.7109375" customWidth="1"/>
    <col min="516" max="516" width="10.5703125" customWidth="1"/>
    <col min="517" max="517" width="10.7109375" customWidth="1"/>
    <col min="518" max="518" width="10.5703125" customWidth="1"/>
    <col min="519" max="519" width="9.85546875" bestFit="1" customWidth="1"/>
    <col min="520" max="520" width="9.140625" customWidth="1"/>
    <col min="521" max="521" width="11.140625" customWidth="1"/>
    <col min="522" max="522" width="7.5703125" customWidth="1"/>
    <col min="523" max="523" width="11.5703125" customWidth="1"/>
    <col min="524" max="524" width="6.140625" customWidth="1"/>
    <col min="525" max="525" width="16.7109375" customWidth="1"/>
    <col min="769" max="769" width="3" customWidth="1"/>
    <col min="770" max="770" width="43.28515625" customWidth="1"/>
    <col min="771" max="771" width="12.7109375" customWidth="1"/>
    <col min="772" max="772" width="10.5703125" customWidth="1"/>
    <col min="773" max="773" width="10.7109375" customWidth="1"/>
    <col min="774" max="774" width="10.5703125" customWidth="1"/>
    <col min="775" max="775" width="9.85546875" bestFit="1" customWidth="1"/>
    <col min="776" max="776" width="9.140625" customWidth="1"/>
    <col min="777" max="777" width="11.140625" customWidth="1"/>
    <col min="778" max="778" width="7.5703125" customWidth="1"/>
    <col min="779" max="779" width="11.5703125" customWidth="1"/>
    <col min="780" max="780" width="6.140625" customWidth="1"/>
    <col min="781" max="781" width="16.7109375" customWidth="1"/>
    <col min="1025" max="1025" width="3" customWidth="1"/>
    <col min="1026" max="1026" width="43.28515625" customWidth="1"/>
    <col min="1027" max="1027" width="12.7109375" customWidth="1"/>
    <col min="1028" max="1028" width="10.5703125" customWidth="1"/>
    <col min="1029" max="1029" width="10.7109375" customWidth="1"/>
    <col min="1030" max="1030" width="10.5703125" customWidth="1"/>
    <col min="1031" max="1031" width="9.85546875" bestFit="1" customWidth="1"/>
    <col min="1032" max="1032" width="9.140625" customWidth="1"/>
    <col min="1033" max="1033" width="11.140625" customWidth="1"/>
    <col min="1034" max="1034" width="7.5703125" customWidth="1"/>
    <col min="1035" max="1035" width="11.5703125" customWidth="1"/>
    <col min="1036" max="1036" width="6.140625" customWidth="1"/>
    <col min="1037" max="1037" width="16.7109375" customWidth="1"/>
    <col min="1281" max="1281" width="3" customWidth="1"/>
    <col min="1282" max="1282" width="43.28515625" customWidth="1"/>
    <col min="1283" max="1283" width="12.7109375" customWidth="1"/>
    <col min="1284" max="1284" width="10.5703125" customWidth="1"/>
    <col min="1285" max="1285" width="10.7109375" customWidth="1"/>
    <col min="1286" max="1286" width="10.5703125" customWidth="1"/>
    <col min="1287" max="1287" width="9.85546875" bestFit="1" customWidth="1"/>
    <col min="1288" max="1288" width="9.140625" customWidth="1"/>
    <col min="1289" max="1289" width="11.140625" customWidth="1"/>
    <col min="1290" max="1290" width="7.5703125" customWidth="1"/>
    <col min="1291" max="1291" width="11.5703125" customWidth="1"/>
    <col min="1292" max="1292" width="6.140625" customWidth="1"/>
    <col min="1293" max="1293" width="16.7109375" customWidth="1"/>
    <col min="1537" max="1537" width="3" customWidth="1"/>
    <col min="1538" max="1538" width="43.28515625" customWidth="1"/>
    <col min="1539" max="1539" width="12.7109375" customWidth="1"/>
    <col min="1540" max="1540" width="10.5703125" customWidth="1"/>
    <col min="1541" max="1541" width="10.7109375" customWidth="1"/>
    <col min="1542" max="1542" width="10.5703125" customWidth="1"/>
    <col min="1543" max="1543" width="9.85546875" bestFit="1" customWidth="1"/>
    <col min="1544" max="1544" width="9.140625" customWidth="1"/>
    <col min="1545" max="1545" width="11.140625" customWidth="1"/>
    <col min="1546" max="1546" width="7.5703125" customWidth="1"/>
    <col min="1547" max="1547" width="11.5703125" customWidth="1"/>
    <col min="1548" max="1548" width="6.140625" customWidth="1"/>
    <col min="1549" max="1549" width="16.7109375" customWidth="1"/>
    <col min="1793" max="1793" width="3" customWidth="1"/>
    <col min="1794" max="1794" width="43.28515625" customWidth="1"/>
    <col min="1795" max="1795" width="12.7109375" customWidth="1"/>
    <col min="1796" max="1796" width="10.5703125" customWidth="1"/>
    <col min="1797" max="1797" width="10.7109375" customWidth="1"/>
    <col min="1798" max="1798" width="10.5703125" customWidth="1"/>
    <col min="1799" max="1799" width="9.85546875" bestFit="1" customWidth="1"/>
    <col min="1800" max="1800" width="9.140625" customWidth="1"/>
    <col min="1801" max="1801" width="11.140625" customWidth="1"/>
    <col min="1802" max="1802" width="7.5703125" customWidth="1"/>
    <col min="1803" max="1803" width="11.5703125" customWidth="1"/>
    <col min="1804" max="1804" width="6.140625" customWidth="1"/>
    <col min="1805" max="1805" width="16.7109375" customWidth="1"/>
    <col min="2049" max="2049" width="3" customWidth="1"/>
    <col min="2050" max="2050" width="43.28515625" customWidth="1"/>
    <col min="2051" max="2051" width="12.7109375" customWidth="1"/>
    <col min="2052" max="2052" width="10.5703125" customWidth="1"/>
    <col min="2053" max="2053" width="10.7109375" customWidth="1"/>
    <col min="2054" max="2054" width="10.5703125" customWidth="1"/>
    <col min="2055" max="2055" width="9.85546875" bestFit="1" customWidth="1"/>
    <col min="2056" max="2056" width="9.140625" customWidth="1"/>
    <col min="2057" max="2057" width="11.140625" customWidth="1"/>
    <col min="2058" max="2058" width="7.5703125" customWidth="1"/>
    <col min="2059" max="2059" width="11.5703125" customWidth="1"/>
    <col min="2060" max="2060" width="6.140625" customWidth="1"/>
    <col min="2061" max="2061" width="16.7109375" customWidth="1"/>
    <col min="2305" max="2305" width="3" customWidth="1"/>
    <col min="2306" max="2306" width="43.28515625" customWidth="1"/>
    <col min="2307" max="2307" width="12.7109375" customWidth="1"/>
    <col min="2308" max="2308" width="10.5703125" customWidth="1"/>
    <col min="2309" max="2309" width="10.7109375" customWidth="1"/>
    <col min="2310" max="2310" width="10.5703125" customWidth="1"/>
    <col min="2311" max="2311" width="9.85546875" bestFit="1" customWidth="1"/>
    <col min="2312" max="2312" width="9.140625" customWidth="1"/>
    <col min="2313" max="2313" width="11.140625" customWidth="1"/>
    <col min="2314" max="2314" width="7.5703125" customWidth="1"/>
    <col min="2315" max="2315" width="11.5703125" customWidth="1"/>
    <col min="2316" max="2316" width="6.140625" customWidth="1"/>
    <col min="2317" max="2317" width="16.7109375" customWidth="1"/>
    <col min="2561" max="2561" width="3" customWidth="1"/>
    <col min="2562" max="2562" width="43.28515625" customWidth="1"/>
    <col min="2563" max="2563" width="12.7109375" customWidth="1"/>
    <col min="2564" max="2564" width="10.5703125" customWidth="1"/>
    <col min="2565" max="2565" width="10.7109375" customWidth="1"/>
    <col min="2566" max="2566" width="10.5703125" customWidth="1"/>
    <col min="2567" max="2567" width="9.85546875" bestFit="1" customWidth="1"/>
    <col min="2568" max="2568" width="9.140625" customWidth="1"/>
    <col min="2569" max="2569" width="11.140625" customWidth="1"/>
    <col min="2570" max="2570" width="7.5703125" customWidth="1"/>
    <col min="2571" max="2571" width="11.5703125" customWidth="1"/>
    <col min="2572" max="2572" width="6.140625" customWidth="1"/>
    <col min="2573" max="2573" width="16.7109375" customWidth="1"/>
    <col min="2817" max="2817" width="3" customWidth="1"/>
    <col min="2818" max="2818" width="43.28515625" customWidth="1"/>
    <col min="2819" max="2819" width="12.7109375" customWidth="1"/>
    <col min="2820" max="2820" width="10.5703125" customWidth="1"/>
    <col min="2821" max="2821" width="10.7109375" customWidth="1"/>
    <col min="2822" max="2822" width="10.5703125" customWidth="1"/>
    <col min="2823" max="2823" width="9.85546875" bestFit="1" customWidth="1"/>
    <col min="2824" max="2824" width="9.140625" customWidth="1"/>
    <col min="2825" max="2825" width="11.140625" customWidth="1"/>
    <col min="2826" max="2826" width="7.5703125" customWidth="1"/>
    <col min="2827" max="2827" width="11.5703125" customWidth="1"/>
    <col min="2828" max="2828" width="6.140625" customWidth="1"/>
    <col min="2829" max="2829" width="16.7109375" customWidth="1"/>
    <col min="3073" max="3073" width="3" customWidth="1"/>
    <col min="3074" max="3074" width="43.28515625" customWidth="1"/>
    <col min="3075" max="3075" width="12.7109375" customWidth="1"/>
    <col min="3076" max="3076" width="10.5703125" customWidth="1"/>
    <col min="3077" max="3077" width="10.7109375" customWidth="1"/>
    <col min="3078" max="3078" width="10.5703125" customWidth="1"/>
    <col min="3079" max="3079" width="9.85546875" bestFit="1" customWidth="1"/>
    <col min="3080" max="3080" width="9.140625" customWidth="1"/>
    <col min="3081" max="3081" width="11.140625" customWidth="1"/>
    <col min="3082" max="3082" width="7.5703125" customWidth="1"/>
    <col min="3083" max="3083" width="11.5703125" customWidth="1"/>
    <col min="3084" max="3084" width="6.140625" customWidth="1"/>
    <col min="3085" max="3085" width="16.7109375" customWidth="1"/>
    <col min="3329" max="3329" width="3" customWidth="1"/>
    <col min="3330" max="3330" width="43.28515625" customWidth="1"/>
    <col min="3331" max="3331" width="12.7109375" customWidth="1"/>
    <col min="3332" max="3332" width="10.5703125" customWidth="1"/>
    <col min="3333" max="3333" width="10.7109375" customWidth="1"/>
    <col min="3334" max="3334" width="10.5703125" customWidth="1"/>
    <col min="3335" max="3335" width="9.85546875" bestFit="1" customWidth="1"/>
    <col min="3336" max="3336" width="9.140625" customWidth="1"/>
    <col min="3337" max="3337" width="11.140625" customWidth="1"/>
    <col min="3338" max="3338" width="7.5703125" customWidth="1"/>
    <col min="3339" max="3339" width="11.5703125" customWidth="1"/>
    <col min="3340" max="3340" width="6.140625" customWidth="1"/>
    <col min="3341" max="3341" width="16.7109375" customWidth="1"/>
    <col min="3585" max="3585" width="3" customWidth="1"/>
    <col min="3586" max="3586" width="43.28515625" customWidth="1"/>
    <col min="3587" max="3587" width="12.7109375" customWidth="1"/>
    <col min="3588" max="3588" width="10.5703125" customWidth="1"/>
    <col min="3589" max="3589" width="10.7109375" customWidth="1"/>
    <col min="3590" max="3590" width="10.5703125" customWidth="1"/>
    <col min="3591" max="3591" width="9.85546875" bestFit="1" customWidth="1"/>
    <col min="3592" max="3592" width="9.140625" customWidth="1"/>
    <col min="3593" max="3593" width="11.140625" customWidth="1"/>
    <col min="3594" max="3594" width="7.5703125" customWidth="1"/>
    <col min="3595" max="3595" width="11.5703125" customWidth="1"/>
    <col min="3596" max="3596" width="6.140625" customWidth="1"/>
    <col min="3597" max="3597" width="16.7109375" customWidth="1"/>
    <col min="3841" max="3841" width="3" customWidth="1"/>
    <col min="3842" max="3842" width="43.28515625" customWidth="1"/>
    <col min="3843" max="3843" width="12.7109375" customWidth="1"/>
    <col min="3844" max="3844" width="10.5703125" customWidth="1"/>
    <col min="3845" max="3845" width="10.7109375" customWidth="1"/>
    <col min="3846" max="3846" width="10.5703125" customWidth="1"/>
    <col min="3847" max="3847" width="9.85546875" bestFit="1" customWidth="1"/>
    <col min="3848" max="3848" width="9.140625" customWidth="1"/>
    <col min="3849" max="3849" width="11.140625" customWidth="1"/>
    <col min="3850" max="3850" width="7.5703125" customWidth="1"/>
    <col min="3851" max="3851" width="11.5703125" customWidth="1"/>
    <col min="3852" max="3852" width="6.140625" customWidth="1"/>
    <col min="3853" max="3853" width="16.7109375" customWidth="1"/>
    <col min="4097" max="4097" width="3" customWidth="1"/>
    <col min="4098" max="4098" width="43.28515625" customWidth="1"/>
    <col min="4099" max="4099" width="12.7109375" customWidth="1"/>
    <col min="4100" max="4100" width="10.5703125" customWidth="1"/>
    <col min="4101" max="4101" width="10.7109375" customWidth="1"/>
    <col min="4102" max="4102" width="10.5703125" customWidth="1"/>
    <col min="4103" max="4103" width="9.85546875" bestFit="1" customWidth="1"/>
    <col min="4104" max="4104" width="9.140625" customWidth="1"/>
    <col min="4105" max="4105" width="11.140625" customWidth="1"/>
    <col min="4106" max="4106" width="7.5703125" customWidth="1"/>
    <col min="4107" max="4107" width="11.5703125" customWidth="1"/>
    <col min="4108" max="4108" width="6.140625" customWidth="1"/>
    <col min="4109" max="4109" width="16.7109375" customWidth="1"/>
    <col min="4353" max="4353" width="3" customWidth="1"/>
    <col min="4354" max="4354" width="43.28515625" customWidth="1"/>
    <col min="4355" max="4355" width="12.7109375" customWidth="1"/>
    <col min="4356" max="4356" width="10.5703125" customWidth="1"/>
    <col min="4357" max="4357" width="10.7109375" customWidth="1"/>
    <col min="4358" max="4358" width="10.5703125" customWidth="1"/>
    <col min="4359" max="4359" width="9.85546875" bestFit="1" customWidth="1"/>
    <col min="4360" max="4360" width="9.140625" customWidth="1"/>
    <col min="4361" max="4361" width="11.140625" customWidth="1"/>
    <col min="4362" max="4362" width="7.5703125" customWidth="1"/>
    <col min="4363" max="4363" width="11.5703125" customWidth="1"/>
    <col min="4364" max="4364" width="6.140625" customWidth="1"/>
    <col min="4365" max="4365" width="16.7109375" customWidth="1"/>
    <col min="4609" max="4609" width="3" customWidth="1"/>
    <col min="4610" max="4610" width="43.28515625" customWidth="1"/>
    <col min="4611" max="4611" width="12.7109375" customWidth="1"/>
    <col min="4612" max="4612" width="10.5703125" customWidth="1"/>
    <col min="4613" max="4613" width="10.7109375" customWidth="1"/>
    <col min="4614" max="4614" width="10.5703125" customWidth="1"/>
    <col min="4615" max="4615" width="9.85546875" bestFit="1" customWidth="1"/>
    <col min="4616" max="4616" width="9.140625" customWidth="1"/>
    <col min="4617" max="4617" width="11.140625" customWidth="1"/>
    <col min="4618" max="4618" width="7.5703125" customWidth="1"/>
    <col min="4619" max="4619" width="11.5703125" customWidth="1"/>
    <col min="4620" max="4620" width="6.140625" customWidth="1"/>
    <col min="4621" max="4621" width="16.7109375" customWidth="1"/>
    <col min="4865" max="4865" width="3" customWidth="1"/>
    <col min="4866" max="4866" width="43.28515625" customWidth="1"/>
    <col min="4867" max="4867" width="12.7109375" customWidth="1"/>
    <col min="4868" max="4868" width="10.5703125" customWidth="1"/>
    <col min="4869" max="4869" width="10.7109375" customWidth="1"/>
    <col min="4870" max="4870" width="10.5703125" customWidth="1"/>
    <col min="4871" max="4871" width="9.85546875" bestFit="1" customWidth="1"/>
    <col min="4872" max="4872" width="9.140625" customWidth="1"/>
    <col min="4873" max="4873" width="11.140625" customWidth="1"/>
    <col min="4874" max="4874" width="7.5703125" customWidth="1"/>
    <col min="4875" max="4875" width="11.5703125" customWidth="1"/>
    <col min="4876" max="4876" width="6.140625" customWidth="1"/>
    <col min="4877" max="4877" width="16.7109375" customWidth="1"/>
    <col min="5121" max="5121" width="3" customWidth="1"/>
    <col min="5122" max="5122" width="43.28515625" customWidth="1"/>
    <col min="5123" max="5123" width="12.7109375" customWidth="1"/>
    <col min="5124" max="5124" width="10.5703125" customWidth="1"/>
    <col min="5125" max="5125" width="10.7109375" customWidth="1"/>
    <col min="5126" max="5126" width="10.5703125" customWidth="1"/>
    <col min="5127" max="5127" width="9.85546875" bestFit="1" customWidth="1"/>
    <col min="5128" max="5128" width="9.140625" customWidth="1"/>
    <col min="5129" max="5129" width="11.140625" customWidth="1"/>
    <col min="5130" max="5130" width="7.5703125" customWidth="1"/>
    <col min="5131" max="5131" width="11.5703125" customWidth="1"/>
    <col min="5132" max="5132" width="6.140625" customWidth="1"/>
    <col min="5133" max="5133" width="16.7109375" customWidth="1"/>
    <col min="5377" max="5377" width="3" customWidth="1"/>
    <col min="5378" max="5378" width="43.28515625" customWidth="1"/>
    <col min="5379" max="5379" width="12.7109375" customWidth="1"/>
    <col min="5380" max="5380" width="10.5703125" customWidth="1"/>
    <col min="5381" max="5381" width="10.7109375" customWidth="1"/>
    <col min="5382" max="5382" width="10.5703125" customWidth="1"/>
    <col min="5383" max="5383" width="9.85546875" bestFit="1" customWidth="1"/>
    <col min="5384" max="5384" width="9.140625" customWidth="1"/>
    <col min="5385" max="5385" width="11.140625" customWidth="1"/>
    <col min="5386" max="5386" width="7.5703125" customWidth="1"/>
    <col min="5387" max="5387" width="11.5703125" customWidth="1"/>
    <col min="5388" max="5388" width="6.140625" customWidth="1"/>
    <col min="5389" max="5389" width="16.7109375" customWidth="1"/>
    <col min="5633" max="5633" width="3" customWidth="1"/>
    <col min="5634" max="5634" width="43.28515625" customWidth="1"/>
    <col min="5635" max="5635" width="12.7109375" customWidth="1"/>
    <col min="5636" max="5636" width="10.5703125" customWidth="1"/>
    <col min="5637" max="5637" width="10.7109375" customWidth="1"/>
    <col min="5638" max="5638" width="10.5703125" customWidth="1"/>
    <col min="5639" max="5639" width="9.85546875" bestFit="1" customWidth="1"/>
    <col min="5640" max="5640" width="9.140625" customWidth="1"/>
    <col min="5641" max="5641" width="11.140625" customWidth="1"/>
    <col min="5642" max="5642" width="7.5703125" customWidth="1"/>
    <col min="5643" max="5643" width="11.5703125" customWidth="1"/>
    <col min="5644" max="5644" width="6.140625" customWidth="1"/>
    <col min="5645" max="5645" width="16.7109375" customWidth="1"/>
    <col min="5889" max="5889" width="3" customWidth="1"/>
    <col min="5890" max="5890" width="43.28515625" customWidth="1"/>
    <col min="5891" max="5891" width="12.7109375" customWidth="1"/>
    <col min="5892" max="5892" width="10.5703125" customWidth="1"/>
    <col min="5893" max="5893" width="10.7109375" customWidth="1"/>
    <col min="5894" max="5894" width="10.5703125" customWidth="1"/>
    <col min="5895" max="5895" width="9.85546875" bestFit="1" customWidth="1"/>
    <col min="5896" max="5896" width="9.140625" customWidth="1"/>
    <col min="5897" max="5897" width="11.140625" customWidth="1"/>
    <col min="5898" max="5898" width="7.5703125" customWidth="1"/>
    <col min="5899" max="5899" width="11.5703125" customWidth="1"/>
    <col min="5900" max="5900" width="6.140625" customWidth="1"/>
    <col min="5901" max="5901" width="16.7109375" customWidth="1"/>
    <col min="6145" max="6145" width="3" customWidth="1"/>
    <col min="6146" max="6146" width="43.28515625" customWidth="1"/>
    <col min="6147" max="6147" width="12.7109375" customWidth="1"/>
    <col min="6148" max="6148" width="10.5703125" customWidth="1"/>
    <col min="6149" max="6149" width="10.7109375" customWidth="1"/>
    <col min="6150" max="6150" width="10.5703125" customWidth="1"/>
    <col min="6151" max="6151" width="9.85546875" bestFit="1" customWidth="1"/>
    <col min="6152" max="6152" width="9.140625" customWidth="1"/>
    <col min="6153" max="6153" width="11.140625" customWidth="1"/>
    <col min="6154" max="6154" width="7.5703125" customWidth="1"/>
    <col min="6155" max="6155" width="11.5703125" customWidth="1"/>
    <col min="6156" max="6156" width="6.140625" customWidth="1"/>
    <col min="6157" max="6157" width="16.7109375" customWidth="1"/>
    <col min="6401" max="6401" width="3" customWidth="1"/>
    <col min="6402" max="6402" width="43.28515625" customWidth="1"/>
    <col min="6403" max="6403" width="12.7109375" customWidth="1"/>
    <col min="6404" max="6404" width="10.5703125" customWidth="1"/>
    <col min="6405" max="6405" width="10.7109375" customWidth="1"/>
    <col min="6406" max="6406" width="10.5703125" customWidth="1"/>
    <col min="6407" max="6407" width="9.85546875" bestFit="1" customWidth="1"/>
    <col min="6408" max="6408" width="9.140625" customWidth="1"/>
    <col min="6409" max="6409" width="11.140625" customWidth="1"/>
    <col min="6410" max="6410" width="7.5703125" customWidth="1"/>
    <col min="6411" max="6411" width="11.5703125" customWidth="1"/>
    <col min="6412" max="6412" width="6.140625" customWidth="1"/>
    <col min="6413" max="6413" width="16.7109375" customWidth="1"/>
    <col min="6657" max="6657" width="3" customWidth="1"/>
    <col min="6658" max="6658" width="43.28515625" customWidth="1"/>
    <col min="6659" max="6659" width="12.7109375" customWidth="1"/>
    <col min="6660" max="6660" width="10.5703125" customWidth="1"/>
    <col min="6661" max="6661" width="10.7109375" customWidth="1"/>
    <col min="6662" max="6662" width="10.5703125" customWidth="1"/>
    <col min="6663" max="6663" width="9.85546875" bestFit="1" customWidth="1"/>
    <col min="6664" max="6664" width="9.140625" customWidth="1"/>
    <col min="6665" max="6665" width="11.140625" customWidth="1"/>
    <col min="6666" max="6666" width="7.5703125" customWidth="1"/>
    <col min="6667" max="6667" width="11.5703125" customWidth="1"/>
    <col min="6668" max="6668" width="6.140625" customWidth="1"/>
    <col min="6669" max="6669" width="16.7109375" customWidth="1"/>
    <col min="6913" max="6913" width="3" customWidth="1"/>
    <col min="6914" max="6914" width="43.28515625" customWidth="1"/>
    <col min="6915" max="6915" width="12.7109375" customWidth="1"/>
    <col min="6916" max="6916" width="10.5703125" customWidth="1"/>
    <col min="6917" max="6917" width="10.7109375" customWidth="1"/>
    <col min="6918" max="6918" width="10.5703125" customWidth="1"/>
    <col min="6919" max="6919" width="9.85546875" bestFit="1" customWidth="1"/>
    <col min="6920" max="6920" width="9.140625" customWidth="1"/>
    <col min="6921" max="6921" width="11.140625" customWidth="1"/>
    <col min="6922" max="6922" width="7.5703125" customWidth="1"/>
    <col min="6923" max="6923" width="11.5703125" customWidth="1"/>
    <col min="6924" max="6924" width="6.140625" customWidth="1"/>
    <col min="6925" max="6925" width="16.7109375" customWidth="1"/>
    <col min="7169" max="7169" width="3" customWidth="1"/>
    <col min="7170" max="7170" width="43.28515625" customWidth="1"/>
    <col min="7171" max="7171" width="12.7109375" customWidth="1"/>
    <col min="7172" max="7172" width="10.5703125" customWidth="1"/>
    <col min="7173" max="7173" width="10.7109375" customWidth="1"/>
    <col min="7174" max="7174" width="10.5703125" customWidth="1"/>
    <col min="7175" max="7175" width="9.85546875" bestFit="1" customWidth="1"/>
    <col min="7176" max="7176" width="9.140625" customWidth="1"/>
    <col min="7177" max="7177" width="11.140625" customWidth="1"/>
    <col min="7178" max="7178" width="7.5703125" customWidth="1"/>
    <col min="7179" max="7179" width="11.5703125" customWidth="1"/>
    <col min="7180" max="7180" width="6.140625" customWidth="1"/>
    <col min="7181" max="7181" width="16.7109375" customWidth="1"/>
    <col min="7425" max="7425" width="3" customWidth="1"/>
    <col min="7426" max="7426" width="43.28515625" customWidth="1"/>
    <col min="7427" max="7427" width="12.7109375" customWidth="1"/>
    <col min="7428" max="7428" width="10.5703125" customWidth="1"/>
    <col min="7429" max="7429" width="10.7109375" customWidth="1"/>
    <col min="7430" max="7430" width="10.5703125" customWidth="1"/>
    <col min="7431" max="7431" width="9.85546875" bestFit="1" customWidth="1"/>
    <col min="7432" max="7432" width="9.140625" customWidth="1"/>
    <col min="7433" max="7433" width="11.140625" customWidth="1"/>
    <col min="7434" max="7434" width="7.5703125" customWidth="1"/>
    <col min="7435" max="7435" width="11.5703125" customWidth="1"/>
    <col min="7436" max="7436" width="6.140625" customWidth="1"/>
    <col min="7437" max="7437" width="16.7109375" customWidth="1"/>
    <col min="7681" max="7681" width="3" customWidth="1"/>
    <col min="7682" max="7682" width="43.28515625" customWidth="1"/>
    <col min="7683" max="7683" width="12.7109375" customWidth="1"/>
    <col min="7684" max="7684" width="10.5703125" customWidth="1"/>
    <col min="7685" max="7685" width="10.7109375" customWidth="1"/>
    <col min="7686" max="7686" width="10.5703125" customWidth="1"/>
    <col min="7687" max="7687" width="9.85546875" bestFit="1" customWidth="1"/>
    <col min="7688" max="7688" width="9.140625" customWidth="1"/>
    <col min="7689" max="7689" width="11.140625" customWidth="1"/>
    <col min="7690" max="7690" width="7.5703125" customWidth="1"/>
    <col min="7691" max="7691" width="11.5703125" customWidth="1"/>
    <col min="7692" max="7692" width="6.140625" customWidth="1"/>
    <col min="7693" max="7693" width="16.7109375" customWidth="1"/>
    <col min="7937" max="7937" width="3" customWidth="1"/>
    <col min="7938" max="7938" width="43.28515625" customWidth="1"/>
    <col min="7939" max="7939" width="12.7109375" customWidth="1"/>
    <col min="7940" max="7940" width="10.5703125" customWidth="1"/>
    <col min="7941" max="7941" width="10.7109375" customWidth="1"/>
    <col min="7942" max="7942" width="10.5703125" customWidth="1"/>
    <col min="7943" max="7943" width="9.85546875" bestFit="1" customWidth="1"/>
    <col min="7944" max="7944" width="9.140625" customWidth="1"/>
    <col min="7945" max="7945" width="11.140625" customWidth="1"/>
    <col min="7946" max="7946" width="7.5703125" customWidth="1"/>
    <col min="7947" max="7947" width="11.5703125" customWidth="1"/>
    <col min="7948" max="7948" width="6.140625" customWidth="1"/>
    <col min="7949" max="7949" width="16.7109375" customWidth="1"/>
    <col min="8193" max="8193" width="3" customWidth="1"/>
    <col min="8194" max="8194" width="43.28515625" customWidth="1"/>
    <col min="8195" max="8195" width="12.7109375" customWidth="1"/>
    <col min="8196" max="8196" width="10.5703125" customWidth="1"/>
    <col min="8197" max="8197" width="10.7109375" customWidth="1"/>
    <col min="8198" max="8198" width="10.5703125" customWidth="1"/>
    <col min="8199" max="8199" width="9.85546875" bestFit="1" customWidth="1"/>
    <col min="8200" max="8200" width="9.140625" customWidth="1"/>
    <col min="8201" max="8201" width="11.140625" customWidth="1"/>
    <col min="8202" max="8202" width="7.5703125" customWidth="1"/>
    <col min="8203" max="8203" width="11.5703125" customWidth="1"/>
    <col min="8204" max="8204" width="6.140625" customWidth="1"/>
    <col min="8205" max="8205" width="16.7109375" customWidth="1"/>
    <col min="8449" max="8449" width="3" customWidth="1"/>
    <col min="8450" max="8450" width="43.28515625" customWidth="1"/>
    <col min="8451" max="8451" width="12.7109375" customWidth="1"/>
    <col min="8452" max="8452" width="10.5703125" customWidth="1"/>
    <col min="8453" max="8453" width="10.7109375" customWidth="1"/>
    <col min="8454" max="8454" width="10.5703125" customWidth="1"/>
    <col min="8455" max="8455" width="9.85546875" bestFit="1" customWidth="1"/>
    <col min="8456" max="8456" width="9.140625" customWidth="1"/>
    <col min="8457" max="8457" width="11.140625" customWidth="1"/>
    <col min="8458" max="8458" width="7.5703125" customWidth="1"/>
    <col min="8459" max="8459" width="11.5703125" customWidth="1"/>
    <col min="8460" max="8460" width="6.140625" customWidth="1"/>
    <col min="8461" max="8461" width="16.7109375" customWidth="1"/>
    <col min="8705" max="8705" width="3" customWidth="1"/>
    <col min="8706" max="8706" width="43.28515625" customWidth="1"/>
    <col min="8707" max="8707" width="12.7109375" customWidth="1"/>
    <col min="8708" max="8708" width="10.5703125" customWidth="1"/>
    <col min="8709" max="8709" width="10.7109375" customWidth="1"/>
    <col min="8710" max="8710" width="10.5703125" customWidth="1"/>
    <col min="8711" max="8711" width="9.85546875" bestFit="1" customWidth="1"/>
    <col min="8712" max="8712" width="9.140625" customWidth="1"/>
    <col min="8713" max="8713" width="11.140625" customWidth="1"/>
    <col min="8714" max="8714" width="7.5703125" customWidth="1"/>
    <col min="8715" max="8715" width="11.5703125" customWidth="1"/>
    <col min="8716" max="8716" width="6.140625" customWidth="1"/>
    <col min="8717" max="8717" width="16.7109375" customWidth="1"/>
    <col min="8961" max="8961" width="3" customWidth="1"/>
    <col min="8962" max="8962" width="43.28515625" customWidth="1"/>
    <col min="8963" max="8963" width="12.7109375" customWidth="1"/>
    <col min="8964" max="8964" width="10.5703125" customWidth="1"/>
    <col min="8965" max="8965" width="10.7109375" customWidth="1"/>
    <col min="8966" max="8966" width="10.5703125" customWidth="1"/>
    <col min="8967" max="8967" width="9.85546875" bestFit="1" customWidth="1"/>
    <col min="8968" max="8968" width="9.140625" customWidth="1"/>
    <col min="8969" max="8969" width="11.140625" customWidth="1"/>
    <col min="8970" max="8970" width="7.5703125" customWidth="1"/>
    <col min="8971" max="8971" width="11.5703125" customWidth="1"/>
    <col min="8972" max="8972" width="6.140625" customWidth="1"/>
    <col min="8973" max="8973" width="16.7109375" customWidth="1"/>
    <col min="9217" max="9217" width="3" customWidth="1"/>
    <col min="9218" max="9218" width="43.28515625" customWidth="1"/>
    <col min="9219" max="9219" width="12.7109375" customWidth="1"/>
    <col min="9220" max="9220" width="10.5703125" customWidth="1"/>
    <col min="9221" max="9221" width="10.7109375" customWidth="1"/>
    <col min="9222" max="9222" width="10.5703125" customWidth="1"/>
    <col min="9223" max="9223" width="9.85546875" bestFit="1" customWidth="1"/>
    <col min="9224" max="9224" width="9.140625" customWidth="1"/>
    <col min="9225" max="9225" width="11.140625" customWidth="1"/>
    <col min="9226" max="9226" width="7.5703125" customWidth="1"/>
    <col min="9227" max="9227" width="11.5703125" customWidth="1"/>
    <col min="9228" max="9228" width="6.140625" customWidth="1"/>
    <col min="9229" max="9229" width="16.7109375" customWidth="1"/>
    <col min="9473" max="9473" width="3" customWidth="1"/>
    <col min="9474" max="9474" width="43.28515625" customWidth="1"/>
    <col min="9475" max="9475" width="12.7109375" customWidth="1"/>
    <col min="9476" max="9476" width="10.5703125" customWidth="1"/>
    <col min="9477" max="9477" width="10.7109375" customWidth="1"/>
    <col min="9478" max="9478" width="10.5703125" customWidth="1"/>
    <col min="9479" max="9479" width="9.85546875" bestFit="1" customWidth="1"/>
    <col min="9480" max="9480" width="9.140625" customWidth="1"/>
    <col min="9481" max="9481" width="11.140625" customWidth="1"/>
    <col min="9482" max="9482" width="7.5703125" customWidth="1"/>
    <col min="9483" max="9483" width="11.5703125" customWidth="1"/>
    <col min="9484" max="9484" width="6.140625" customWidth="1"/>
    <col min="9485" max="9485" width="16.7109375" customWidth="1"/>
    <col min="9729" max="9729" width="3" customWidth="1"/>
    <col min="9730" max="9730" width="43.28515625" customWidth="1"/>
    <col min="9731" max="9731" width="12.7109375" customWidth="1"/>
    <col min="9732" max="9732" width="10.5703125" customWidth="1"/>
    <col min="9733" max="9733" width="10.7109375" customWidth="1"/>
    <col min="9734" max="9734" width="10.5703125" customWidth="1"/>
    <col min="9735" max="9735" width="9.85546875" bestFit="1" customWidth="1"/>
    <col min="9736" max="9736" width="9.140625" customWidth="1"/>
    <col min="9737" max="9737" width="11.140625" customWidth="1"/>
    <col min="9738" max="9738" width="7.5703125" customWidth="1"/>
    <col min="9739" max="9739" width="11.5703125" customWidth="1"/>
    <col min="9740" max="9740" width="6.140625" customWidth="1"/>
    <col min="9741" max="9741" width="16.7109375" customWidth="1"/>
    <col min="9985" max="9985" width="3" customWidth="1"/>
    <col min="9986" max="9986" width="43.28515625" customWidth="1"/>
    <col min="9987" max="9987" width="12.7109375" customWidth="1"/>
    <col min="9988" max="9988" width="10.5703125" customWidth="1"/>
    <col min="9989" max="9989" width="10.7109375" customWidth="1"/>
    <col min="9990" max="9990" width="10.5703125" customWidth="1"/>
    <col min="9991" max="9991" width="9.85546875" bestFit="1" customWidth="1"/>
    <col min="9992" max="9992" width="9.140625" customWidth="1"/>
    <col min="9993" max="9993" width="11.140625" customWidth="1"/>
    <col min="9994" max="9994" width="7.5703125" customWidth="1"/>
    <col min="9995" max="9995" width="11.5703125" customWidth="1"/>
    <col min="9996" max="9996" width="6.140625" customWidth="1"/>
    <col min="9997" max="9997" width="16.7109375" customWidth="1"/>
    <col min="10241" max="10241" width="3" customWidth="1"/>
    <col min="10242" max="10242" width="43.28515625" customWidth="1"/>
    <col min="10243" max="10243" width="12.7109375" customWidth="1"/>
    <col min="10244" max="10244" width="10.5703125" customWidth="1"/>
    <col min="10245" max="10245" width="10.7109375" customWidth="1"/>
    <col min="10246" max="10246" width="10.5703125" customWidth="1"/>
    <col min="10247" max="10247" width="9.85546875" bestFit="1" customWidth="1"/>
    <col min="10248" max="10248" width="9.140625" customWidth="1"/>
    <col min="10249" max="10249" width="11.140625" customWidth="1"/>
    <col min="10250" max="10250" width="7.5703125" customWidth="1"/>
    <col min="10251" max="10251" width="11.5703125" customWidth="1"/>
    <col min="10252" max="10252" width="6.140625" customWidth="1"/>
    <col min="10253" max="10253" width="16.7109375" customWidth="1"/>
    <col min="10497" max="10497" width="3" customWidth="1"/>
    <col min="10498" max="10498" width="43.28515625" customWidth="1"/>
    <col min="10499" max="10499" width="12.7109375" customWidth="1"/>
    <col min="10500" max="10500" width="10.5703125" customWidth="1"/>
    <col min="10501" max="10501" width="10.7109375" customWidth="1"/>
    <col min="10502" max="10502" width="10.5703125" customWidth="1"/>
    <col min="10503" max="10503" width="9.85546875" bestFit="1" customWidth="1"/>
    <col min="10504" max="10504" width="9.140625" customWidth="1"/>
    <col min="10505" max="10505" width="11.140625" customWidth="1"/>
    <col min="10506" max="10506" width="7.5703125" customWidth="1"/>
    <col min="10507" max="10507" width="11.5703125" customWidth="1"/>
    <col min="10508" max="10508" width="6.140625" customWidth="1"/>
    <col min="10509" max="10509" width="16.7109375" customWidth="1"/>
    <col min="10753" max="10753" width="3" customWidth="1"/>
    <col min="10754" max="10754" width="43.28515625" customWidth="1"/>
    <col min="10755" max="10755" width="12.7109375" customWidth="1"/>
    <col min="10756" max="10756" width="10.5703125" customWidth="1"/>
    <col min="10757" max="10757" width="10.7109375" customWidth="1"/>
    <col min="10758" max="10758" width="10.5703125" customWidth="1"/>
    <col min="10759" max="10759" width="9.85546875" bestFit="1" customWidth="1"/>
    <col min="10760" max="10760" width="9.140625" customWidth="1"/>
    <col min="10761" max="10761" width="11.140625" customWidth="1"/>
    <col min="10762" max="10762" width="7.5703125" customWidth="1"/>
    <col min="10763" max="10763" width="11.5703125" customWidth="1"/>
    <col min="10764" max="10764" width="6.140625" customWidth="1"/>
    <col min="10765" max="10765" width="16.7109375" customWidth="1"/>
    <col min="11009" max="11009" width="3" customWidth="1"/>
    <col min="11010" max="11010" width="43.28515625" customWidth="1"/>
    <col min="11011" max="11011" width="12.7109375" customWidth="1"/>
    <col min="11012" max="11012" width="10.5703125" customWidth="1"/>
    <col min="11013" max="11013" width="10.7109375" customWidth="1"/>
    <col min="11014" max="11014" width="10.5703125" customWidth="1"/>
    <col min="11015" max="11015" width="9.85546875" bestFit="1" customWidth="1"/>
    <col min="11016" max="11016" width="9.140625" customWidth="1"/>
    <col min="11017" max="11017" width="11.140625" customWidth="1"/>
    <col min="11018" max="11018" width="7.5703125" customWidth="1"/>
    <col min="11019" max="11019" width="11.5703125" customWidth="1"/>
    <col min="11020" max="11020" width="6.140625" customWidth="1"/>
    <col min="11021" max="11021" width="16.7109375" customWidth="1"/>
    <col min="11265" max="11265" width="3" customWidth="1"/>
    <col min="11266" max="11266" width="43.28515625" customWidth="1"/>
    <col min="11267" max="11267" width="12.7109375" customWidth="1"/>
    <col min="11268" max="11268" width="10.5703125" customWidth="1"/>
    <col min="11269" max="11269" width="10.7109375" customWidth="1"/>
    <col min="11270" max="11270" width="10.5703125" customWidth="1"/>
    <col min="11271" max="11271" width="9.85546875" bestFit="1" customWidth="1"/>
    <col min="11272" max="11272" width="9.140625" customWidth="1"/>
    <col min="11273" max="11273" width="11.140625" customWidth="1"/>
    <col min="11274" max="11274" width="7.5703125" customWidth="1"/>
    <col min="11275" max="11275" width="11.5703125" customWidth="1"/>
    <col min="11276" max="11276" width="6.140625" customWidth="1"/>
    <col min="11277" max="11277" width="16.7109375" customWidth="1"/>
    <col min="11521" max="11521" width="3" customWidth="1"/>
    <col min="11522" max="11522" width="43.28515625" customWidth="1"/>
    <col min="11523" max="11523" width="12.7109375" customWidth="1"/>
    <col min="11524" max="11524" width="10.5703125" customWidth="1"/>
    <col min="11525" max="11525" width="10.7109375" customWidth="1"/>
    <col min="11526" max="11526" width="10.5703125" customWidth="1"/>
    <col min="11527" max="11527" width="9.85546875" bestFit="1" customWidth="1"/>
    <col min="11528" max="11528" width="9.140625" customWidth="1"/>
    <col min="11529" max="11529" width="11.140625" customWidth="1"/>
    <col min="11530" max="11530" width="7.5703125" customWidth="1"/>
    <col min="11531" max="11531" width="11.5703125" customWidth="1"/>
    <col min="11532" max="11532" width="6.140625" customWidth="1"/>
    <col min="11533" max="11533" width="16.7109375" customWidth="1"/>
    <col min="11777" max="11777" width="3" customWidth="1"/>
    <col min="11778" max="11778" width="43.28515625" customWidth="1"/>
    <col min="11779" max="11779" width="12.7109375" customWidth="1"/>
    <col min="11780" max="11780" width="10.5703125" customWidth="1"/>
    <col min="11781" max="11781" width="10.7109375" customWidth="1"/>
    <col min="11782" max="11782" width="10.5703125" customWidth="1"/>
    <col min="11783" max="11783" width="9.85546875" bestFit="1" customWidth="1"/>
    <col min="11784" max="11784" width="9.140625" customWidth="1"/>
    <col min="11785" max="11785" width="11.140625" customWidth="1"/>
    <col min="11786" max="11786" width="7.5703125" customWidth="1"/>
    <col min="11787" max="11787" width="11.5703125" customWidth="1"/>
    <col min="11788" max="11788" width="6.140625" customWidth="1"/>
    <col min="11789" max="11789" width="16.7109375" customWidth="1"/>
    <col min="12033" max="12033" width="3" customWidth="1"/>
    <col min="12034" max="12034" width="43.28515625" customWidth="1"/>
    <col min="12035" max="12035" width="12.7109375" customWidth="1"/>
    <col min="12036" max="12036" width="10.5703125" customWidth="1"/>
    <col min="12037" max="12037" width="10.7109375" customWidth="1"/>
    <col min="12038" max="12038" width="10.5703125" customWidth="1"/>
    <col min="12039" max="12039" width="9.85546875" bestFit="1" customWidth="1"/>
    <col min="12040" max="12040" width="9.140625" customWidth="1"/>
    <col min="12041" max="12041" width="11.140625" customWidth="1"/>
    <col min="12042" max="12042" width="7.5703125" customWidth="1"/>
    <col min="12043" max="12043" width="11.5703125" customWidth="1"/>
    <col min="12044" max="12044" width="6.140625" customWidth="1"/>
    <col min="12045" max="12045" width="16.7109375" customWidth="1"/>
    <col min="12289" max="12289" width="3" customWidth="1"/>
    <col min="12290" max="12290" width="43.28515625" customWidth="1"/>
    <col min="12291" max="12291" width="12.7109375" customWidth="1"/>
    <col min="12292" max="12292" width="10.5703125" customWidth="1"/>
    <col min="12293" max="12293" width="10.7109375" customWidth="1"/>
    <col min="12294" max="12294" width="10.5703125" customWidth="1"/>
    <col min="12295" max="12295" width="9.85546875" bestFit="1" customWidth="1"/>
    <col min="12296" max="12296" width="9.140625" customWidth="1"/>
    <col min="12297" max="12297" width="11.140625" customWidth="1"/>
    <col min="12298" max="12298" width="7.5703125" customWidth="1"/>
    <col min="12299" max="12299" width="11.5703125" customWidth="1"/>
    <col min="12300" max="12300" width="6.140625" customWidth="1"/>
    <col min="12301" max="12301" width="16.7109375" customWidth="1"/>
    <col min="12545" max="12545" width="3" customWidth="1"/>
    <col min="12546" max="12546" width="43.28515625" customWidth="1"/>
    <col min="12547" max="12547" width="12.7109375" customWidth="1"/>
    <col min="12548" max="12548" width="10.5703125" customWidth="1"/>
    <col min="12549" max="12549" width="10.7109375" customWidth="1"/>
    <col min="12550" max="12550" width="10.5703125" customWidth="1"/>
    <col min="12551" max="12551" width="9.85546875" bestFit="1" customWidth="1"/>
    <col min="12552" max="12552" width="9.140625" customWidth="1"/>
    <col min="12553" max="12553" width="11.140625" customWidth="1"/>
    <col min="12554" max="12554" width="7.5703125" customWidth="1"/>
    <col min="12555" max="12555" width="11.5703125" customWidth="1"/>
    <col min="12556" max="12556" width="6.140625" customWidth="1"/>
    <col min="12557" max="12557" width="16.7109375" customWidth="1"/>
    <col min="12801" max="12801" width="3" customWidth="1"/>
    <col min="12802" max="12802" width="43.28515625" customWidth="1"/>
    <col min="12803" max="12803" width="12.7109375" customWidth="1"/>
    <col min="12804" max="12804" width="10.5703125" customWidth="1"/>
    <col min="12805" max="12805" width="10.7109375" customWidth="1"/>
    <col min="12806" max="12806" width="10.5703125" customWidth="1"/>
    <col min="12807" max="12807" width="9.85546875" bestFit="1" customWidth="1"/>
    <col min="12808" max="12808" width="9.140625" customWidth="1"/>
    <col min="12809" max="12809" width="11.140625" customWidth="1"/>
    <col min="12810" max="12810" width="7.5703125" customWidth="1"/>
    <col min="12811" max="12811" width="11.5703125" customWidth="1"/>
    <col min="12812" max="12812" width="6.140625" customWidth="1"/>
    <col min="12813" max="12813" width="16.7109375" customWidth="1"/>
    <col min="13057" max="13057" width="3" customWidth="1"/>
    <col min="13058" max="13058" width="43.28515625" customWidth="1"/>
    <col min="13059" max="13059" width="12.7109375" customWidth="1"/>
    <col min="13060" max="13060" width="10.5703125" customWidth="1"/>
    <col min="13061" max="13061" width="10.7109375" customWidth="1"/>
    <col min="13062" max="13062" width="10.5703125" customWidth="1"/>
    <col min="13063" max="13063" width="9.85546875" bestFit="1" customWidth="1"/>
    <col min="13064" max="13064" width="9.140625" customWidth="1"/>
    <col min="13065" max="13065" width="11.140625" customWidth="1"/>
    <col min="13066" max="13066" width="7.5703125" customWidth="1"/>
    <col min="13067" max="13067" width="11.5703125" customWidth="1"/>
    <col min="13068" max="13068" width="6.140625" customWidth="1"/>
    <col min="13069" max="13069" width="16.7109375" customWidth="1"/>
    <col min="13313" max="13313" width="3" customWidth="1"/>
    <col min="13314" max="13314" width="43.28515625" customWidth="1"/>
    <col min="13315" max="13315" width="12.7109375" customWidth="1"/>
    <col min="13316" max="13316" width="10.5703125" customWidth="1"/>
    <col min="13317" max="13317" width="10.7109375" customWidth="1"/>
    <col min="13318" max="13318" width="10.5703125" customWidth="1"/>
    <col min="13319" max="13319" width="9.85546875" bestFit="1" customWidth="1"/>
    <col min="13320" max="13320" width="9.140625" customWidth="1"/>
    <col min="13321" max="13321" width="11.140625" customWidth="1"/>
    <col min="13322" max="13322" width="7.5703125" customWidth="1"/>
    <col min="13323" max="13323" width="11.5703125" customWidth="1"/>
    <col min="13324" max="13324" width="6.140625" customWidth="1"/>
    <col min="13325" max="13325" width="16.7109375" customWidth="1"/>
    <col min="13569" max="13569" width="3" customWidth="1"/>
    <col min="13570" max="13570" width="43.28515625" customWidth="1"/>
    <col min="13571" max="13571" width="12.7109375" customWidth="1"/>
    <col min="13572" max="13572" width="10.5703125" customWidth="1"/>
    <col min="13573" max="13573" width="10.7109375" customWidth="1"/>
    <col min="13574" max="13574" width="10.5703125" customWidth="1"/>
    <col min="13575" max="13575" width="9.85546875" bestFit="1" customWidth="1"/>
    <col min="13576" max="13576" width="9.140625" customWidth="1"/>
    <col min="13577" max="13577" width="11.140625" customWidth="1"/>
    <col min="13578" max="13578" width="7.5703125" customWidth="1"/>
    <col min="13579" max="13579" width="11.5703125" customWidth="1"/>
    <col min="13580" max="13580" width="6.140625" customWidth="1"/>
    <col min="13581" max="13581" width="16.7109375" customWidth="1"/>
    <col min="13825" max="13825" width="3" customWidth="1"/>
    <col min="13826" max="13826" width="43.28515625" customWidth="1"/>
    <col min="13827" max="13827" width="12.7109375" customWidth="1"/>
    <col min="13828" max="13828" width="10.5703125" customWidth="1"/>
    <col min="13829" max="13829" width="10.7109375" customWidth="1"/>
    <col min="13830" max="13830" width="10.5703125" customWidth="1"/>
    <col min="13831" max="13831" width="9.85546875" bestFit="1" customWidth="1"/>
    <col min="13832" max="13832" width="9.140625" customWidth="1"/>
    <col min="13833" max="13833" width="11.140625" customWidth="1"/>
    <col min="13834" max="13834" width="7.5703125" customWidth="1"/>
    <col min="13835" max="13835" width="11.5703125" customWidth="1"/>
    <col min="13836" max="13836" width="6.140625" customWidth="1"/>
    <col min="13837" max="13837" width="16.7109375" customWidth="1"/>
    <col min="14081" max="14081" width="3" customWidth="1"/>
    <col min="14082" max="14082" width="43.28515625" customWidth="1"/>
    <col min="14083" max="14083" width="12.7109375" customWidth="1"/>
    <col min="14084" max="14084" width="10.5703125" customWidth="1"/>
    <col min="14085" max="14085" width="10.7109375" customWidth="1"/>
    <col min="14086" max="14086" width="10.5703125" customWidth="1"/>
    <col min="14087" max="14087" width="9.85546875" bestFit="1" customWidth="1"/>
    <col min="14088" max="14088" width="9.140625" customWidth="1"/>
    <col min="14089" max="14089" width="11.140625" customWidth="1"/>
    <col min="14090" max="14090" width="7.5703125" customWidth="1"/>
    <col min="14091" max="14091" width="11.5703125" customWidth="1"/>
    <col min="14092" max="14092" width="6.140625" customWidth="1"/>
    <col min="14093" max="14093" width="16.7109375" customWidth="1"/>
    <col min="14337" max="14337" width="3" customWidth="1"/>
    <col min="14338" max="14338" width="43.28515625" customWidth="1"/>
    <col min="14339" max="14339" width="12.7109375" customWidth="1"/>
    <col min="14340" max="14340" width="10.5703125" customWidth="1"/>
    <col min="14341" max="14341" width="10.7109375" customWidth="1"/>
    <col min="14342" max="14342" width="10.5703125" customWidth="1"/>
    <col min="14343" max="14343" width="9.85546875" bestFit="1" customWidth="1"/>
    <col min="14344" max="14344" width="9.140625" customWidth="1"/>
    <col min="14345" max="14345" width="11.140625" customWidth="1"/>
    <col min="14346" max="14346" width="7.5703125" customWidth="1"/>
    <col min="14347" max="14347" width="11.5703125" customWidth="1"/>
    <col min="14348" max="14348" width="6.140625" customWidth="1"/>
    <col min="14349" max="14349" width="16.7109375" customWidth="1"/>
    <col min="14593" max="14593" width="3" customWidth="1"/>
    <col min="14594" max="14594" width="43.28515625" customWidth="1"/>
    <col min="14595" max="14595" width="12.7109375" customWidth="1"/>
    <col min="14596" max="14596" width="10.5703125" customWidth="1"/>
    <col min="14597" max="14597" width="10.7109375" customWidth="1"/>
    <col min="14598" max="14598" width="10.5703125" customWidth="1"/>
    <col min="14599" max="14599" width="9.85546875" bestFit="1" customWidth="1"/>
    <col min="14600" max="14600" width="9.140625" customWidth="1"/>
    <col min="14601" max="14601" width="11.140625" customWidth="1"/>
    <col min="14602" max="14602" width="7.5703125" customWidth="1"/>
    <col min="14603" max="14603" width="11.5703125" customWidth="1"/>
    <col min="14604" max="14604" width="6.140625" customWidth="1"/>
    <col min="14605" max="14605" width="16.7109375" customWidth="1"/>
    <col min="14849" max="14849" width="3" customWidth="1"/>
    <col min="14850" max="14850" width="43.28515625" customWidth="1"/>
    <col min="14851" max="14851" width="12.7109375" customWidth="1"/>
    <col min="14852" max="14852" width="10.5703125" customWidth="1"/>
    <col min="14853" max="14853" width="10.7109375" customWidth="1"/>
    <col min="14854" max="14854" width="10.5703125" customWidth="1"/>
    <col min="14855" max="14855" width="9.85546875" bestFit="1" customWidth="1"/>
    <col min="14856" max="14856" width="9.140625" customWidth="1"/>
    <col min="14857" max="14857" width="11.140625" customWidth="1"/>
    <col min="14858" max="14858" width="7.5703125" customWidth="1"/>
    <col min="14859" max="14859" width="11.5703125" customWidth="1"/>
    <col min="14860" max="14860" width="6.140625" customWidth="1"/>
    <col min="14861" max="14861" width="16.7109375" customWidth="1"/>
    <col min="15105" max="15105" width="3" customWidth="1"/>
    <col min="15106" max="15106" width="43.28515625" customWidth="1"/>
    <col min="15107" max="15107" width="12.7109375" customWidth="1"/>
    <col min="15108" max="15108" width="10.5703125" customWidth="1"/>
    <col min="15109" max="15109" width="10.7109375" customWidth="1"/>
    <col min="15110" max="15110" width="10.5703125" customWidth="1"/>
    <col min="15111" max="15111" width="9.85546875" bestFit="1" customWidth="1"/>
    <col min="15112" max="15112" width="9.140625" customWidth="1"/>
    <col min="15113" max="15113" width="11.140625" customWidth="1"/>
    <col min="15114" max="15114" width="7.5703125" customWidth="1"/>
    <col min="15115" max="15115" width="11.5703125" customWidth="1"/>
    <col min="15116" max="15116" width="6.140625" customWidth="1"/>
    <col min="15117" max="15117" width="16.7109375" customWidth="1"/>
    <col min="15361" max="15361" width="3" customWidth="1"/>
    <col min="15362" max="15362" width="43.28515625" customWidth="1"/>
    <col min="15363" max="15363" width="12.7109375" customWidth="1"/>
    <col min="15364" max="15364" width="10.5703125" customWidth="1"/>
    <col min="15365" max="15365" width="10.7109375" customWidth="1"/>
    <col min="15366" max="15366" width="10.5703125" customWidth="1"/>
    <col min="15367" max="15367" width="9.85546875" bestFit="1" customWidth="1"/>
    <col min="15368" max="15368" width="9.140625" customWidth="1"/>
    <col min="15369" max="15369" width="11.140625" customWidth="1"/>
    <col min="15370" max="15370" width="7.5703125" customWidth="1"/>
    <col min="15371" max="15371" width="11.5703125" customWidth="1"/>
    <col min="15372" max="15372" width="6.140625" customWidth="1"/>
    <col min="15373" max="15373" width="16.7109375" customWidth="1"/>
    <col min="15617" max="15617" width="3" customWidth="1"/>
    <col min="15618" max="15618" width="43.28515625" customWidth="1"/>
    <col min="15619" max="15619" width="12.7109375" customWidth="1"/>
    <col min="15620" max="15620" width="10.5703125" customWidth="1"/>
    <col min="15621" max="15621" width="10.7109375" customWidth="1"/>
    <col min="15622" max="15622" width="10.5703125" customWidth="1"/>
    <col min="15623" max="15623" width="9.85546875" bestFit="1" customWidth="1"/>
    <col min="15624" max="15624" width="9.140625" customWidth="1"/>
    <col min="15625" max="15625" width="11.140625" customWidth="1"/>
    <col min="15626" max="15626" width="7.5703125" customWidth="1"/>
    <col min="15627" max="15627" width="11.5703125" customWidth="1"/>
    <col min="15628" max="15628" width="6.140625" customWidth="1"/>
    <col min="15629" max="15629" width="16.7109375" customWidth="1"/>
    <col min="15873" max="15873" width="3" customWidth="1"/>
    <col min="15874" max="15874" width="43.28515625" customWidth="1"/>
    <col min="15875" max="15875" width="12.7109375" customWidth="1"/>
    <col min="15876" max="15876" width="10.5703125" customWidth="1"/>
    <col min="15877" max="15877" width="10.7109375" customWidth="1"/>
    <col min="15878" max="15878" width="10.5703125" customWidth="1"/>
    <col min="15879" max="15879" width="9.85546875" bestFit="1" customWidth="1"/>
    <col min="15880" max="15880" width="9.140625" customWidth="1"/>
    <col min="15881" max="15881" width="11.140625" customWidth="1"/>
    <col min="15882" max="15882" width="7.5703125" customWidth="1"/>
    <col min="15883" max="15883" width="11.5703125" customWidth="1"/>
    <col min="15884" max="15884" width="6.140625" customWidth="1"/>
    <col min="15885" max="15885" width="16.7109375" customWidth="1"/>
    <col min="16129" max="16129" width="3" customWidth="1"/>
    <col min="16130" max="16130" width="43.28515625" customWidth="1"/>
    <col min="16131" max="16131" width="12.7109375" customWidth="1"/>
    <col min="16132" max="16132" width="10.5703125" customWidth="1"/>
    <col min="16133" max="16133" width="10.7109375" customWidth="1"/>
    <col min="16134" max="16134" width="10.5703125" customWidth="1"/>
    <col min="16135" max="16135" width="9.85546875" bestFit="1" customWidth="1"/>
    <col min="16136" max="16136" width="9.140625" customWidth="1"/>
    <col min="16137" max="16137" width="11.140625" customWidth="1"/>
    <col min="16138" max="16138" width="7.5703125" customWidth="1"/>
    <col min="16139" max="16139" width="11.5703125" customWidth="1"/>
    <col min="16140" max="16140" width="6.140625" customWidth="1"/>
    <col min="16141" max="16141" width="16.7109375" customWidth="1"/>
  </cols>
  <sheetData>
    <row r="1" spans="1:13" ht="15.75" x14ac:dyDescent="0.25">
      <c r="A1" s="532" t="s">
        <v>244</v>
      </c>
      <c r="B1" s="458"/>
      <c r="C1" s="532"/>
      <c r="D1" s="532"/>
      <c r="M1" s="264"/>
    </row>
    <row r="2" spans="1:13" s="596" customFormat="1" ht="12.75" x14ac:dyDescent="0.2">
      <c r="A2" s="594" t="s">
        <v>42</v>
      </c>
      <c r="B2" s="595"/>
      <c r="M2" s="597"/>
    </row>
    <row r="3" spans="1:13" x14ac:dyDescent="0.25">
      <c r="B3" s="265"/>
    </row>
    <row r="4" spans="1:13" ht="15.75" thickBot="1" x14ac:dyDescent="0.3">
      <c r="A4" s="727" t="s">
        <v>176</v>
      </c>
      <c r="B4" s="730" t="s">
        <v>245</v>
      </c>
      <c r="C4" s="733" t="s">
        <v>178</v>
      </c>
      <c r="D4" s="266"/>
      <c r="E4" s="267"/>
      <c r="F4" s="267"/>
      <c r="G4" s="266" t="s">
        <v>44</v>
      </c>
      <c r="H4" s="266"/>
      <c r="I4" s="267"/>
      <c r="J4" s="735" t="s">
        <v>179</v>
      </c>
      <c r="K4" s="737" t="s">
        <v>180</v>
      </c>
      <c r="L4" s="740" t="s">
        <v>246</v>
      </c>
      <c r="M4" s="744" t="s">
        <v>53</v>
      </c>
    </row>
    <row r="5" spans="1:13" ht="15.75" thickBot="1" x14ac:dyDescent="0.3">
      <c r="A5" s="728"/>
      <c r="B5" s="731"/>
      <c r="C5" s="734"/>
      <c r="D5" s="746" t="s">
        <v>182</v>
      </c>
      <c r="E5" s="268" t="s">
        <v>44</v>
      </c>
      <c r="F5" s="269"/>
      <c r="G5" s="747" t="s">
        <v>49</v>
      </c>
      <c r="H5" s="747" t="s">
        <v>247</v>
      </c>
      <c r="I5" s="748" t="s">
        <v>51</v>
      </c>
      <c r="J5" s="736"/>
      <c r="K5" s="738"/>
      <c r="L5" s="741"/>
      <c r="M5" s="745"/>
    </row>
    <row r="6" spans="1:13" ht="24.75" customHeight="1" thickBot="1" x14ac:dyDescent="0.3">
      <c r="A6" s="728"/>
      <c r="B6" s="731"/>
      <c r="C6" s="734"/>
      <c r="D6" s="746"/>
      <c r="E6" s="270" t="s">
        <v>183</v>
      </c>
      <c r="F6" s="271" t="s">
        <v>184</v>
      </c>
      <c r="G6" s="747"/>
      <c r="H6" s="747"/>
      <c r="I6" s="748"/>
      <c r="J6" s="736"/>
      <c r="K6" s="739"/>
      <c r="L6" s="741"/>
      <c r="M6" s="745"/>
    </row>
    <row r="7" spans="1:13" ht="15.75" thickBot="1" x14ac:dyDescent="0.3">
      <c r="A7" s="729"/>
      <c r="B7" s="732"/>
      <c r="C7" s="272" t="s">
        <v>56</v>
      </c>
      <c r="D7" s="273" t="s">
        <v>57</v>
      </c>
      <c r="E7" s="273" t="s">
        <v>58</v>
      </c>
      <c r="F7" s="273" t="s">
        <v>59</v>
      </c>
      <c r="G7" s="273" t="s">
        <v>60</v>
      </c>
      <c r="H7" s="273" t="s">
        <v>61</v>
      </c>
      <c r="I7" s="274" t="s">
        <v>62</v>
      </c>
      <c r="J7" s="272" t="s">
        <v>63</v>
      </c>
      <c r="K7" s="275" t="s">
        <v>214</v>
      </c>
      <c r="L7" s="276" t="s">
        <v>216</v>
      </c>
      <c r="M7" s="277"/>
    </row>
    <row r="8" spans="1:13" ht="15.75" thickTop="1" x14ac:dyDescent="0.25">
      <c r="A8" s="278" t="s">
        <v>56</v>
      </c>
      <c r="B8" s="279" t="s">
        <v>248</v>
      </c>
      <c r="C8" s="280">
        <f t="shared" ref="C8:C19" si="0">SUM(D8+G8+H8+I8)</f>
        <v>3500000</v>
      </c>
      <c r="D8" s="281">
        <f t="shared" ref="D8:D19" si="1">SUM(E8+F8)</f>
        <v>2611937</v>
      </c>
      <c r="E8" s="282">
        <v>1106000</v>
      </c>
      <c r="F8" s="282">
        <v>1505937</v>
      </c>
      <c r="G8" s="282">
        <v>684788</v>
      </c>
      <c r="H8" s="282">
        <v>16590</v>
      </c>
      <c r="I8" s="283">
        <v>186685</v>
      </c>
      <c r="J8" s="280">
        <v>0</v>
      </c>
      <c r="K8" s="284">
        <f>SUM(C8-J8)</f>
        <v>3500000</v>
      </c>
      <c r="L8" s="285">
        <v>3.4</v>
      </c>
      <c r="M8" s="725" t="s">
        <v>249</v>
      </c>
    </row>
    <row r="9" spans="1:13" x14ac:dyDescent="0.25">
      <c r="A9" s="286" t="s">
        <v>57</v>
      </c>
      <c r="B9" s="287" t="s">
        <v>250</v>
      </c>
      <c r="C9" s="288">
        <f t="shared" si="0"/>
        <v>6126280</v>
      </c>
      <c r="D9" s="289">
        <f t="shared" si="1"/>
        <v>4402695</v>
      </c>
      <c r="E9" s="290">
        <v>3472800</v>
      </c>
      <c r="F9" s="290">
        <v>929895</v>
      </c>
      <c r="G9" s="290">
        <v>1200752</v>
      </c>
      <c r="H9" s="290">
        <v>52092</v>
      </c>
      <c r="I9" s="291">
        <v>470741</v>
      </c>
      <c r="J9" s="288">
        <v>0</v>
      </c>
      <c r="K9" s="292">
        <f t="shared" ref="K9:K19" si="2">SUM(C9-J9)</f>
        <v>6126280</v>
      </c>
      <c r="L9" s="293">
        <v>9.76</v>
      </c>
      <c r="M9" s="725"/>
    </row>
    <row r="10" spans="1:13" x14ac:dyDescent="0.25">
      <c r="A10" s="286" t="s">
        <v>58</v>
      </c>
      <c r="B10" s="287" t="s">
        <v>251</v>
      </c>
      <c r="C10" s="288">
        <f t="shared" si="0"/>
        <v>573968</v>
      </c>
      <c r="D10" s="289">
        <f t="shared" si="1"/>
        <v>333603</v>
      </c>
      <c r="E10" s="290">
        <v>295635</v>
      </c>
      <c r="F10" s="290">
        <v>37968</v>
      </c>
      <c r="G10" s="290">
        <v>110000</v>
      </c>
      <c r="H10" s="290">
        <v>4435</v>
      </c>
      <c r="I10" s="291">
        <v>125930</v>
      </c>
      <c r="J10" s="288">
        <v>0</v>
      </c>
      <c r="K10" s="292">
        <f t="shared" si="2"/>
        <v>573968</v>
      </c>
      <c r="L10" s="293">
        <v>0.7</v>
      </c>
      <c r="M10" s="725"/>
    </row>
    <row r="11" spans="1:13" ht="36.75" x14ac:dyDescent="0.25">
      <c r="A11" s="286" t="s">
        <v>59</v>
      </c>
      <c r="B11" s="287" t="s">
        <v>252</v>
      </c>
      <c r="C11" s="288">
        <f t="shared" si="0"/>
        <v>1550000</v>
      </c>
      <c r="D11" s="289">
        <f t="shared" si="1"/>
        <v>803000</v>
      </c>
      <c r="E11" s="290">
        <v>566000</v>
      </c>
      <c r="F11" s="290">
        <v>237000</v>
      </c>
      <c r="G11" s="290">
        <v>220440</v>
      </c>
      <c r="H11" s="290">
        <v>8490</v>
      </c>
      <c r="I11" s="291">
        <v>518070</v>
      </c>
      <c r="J11" s="288">
        <v>0</v>
      </c>
      <c r="K11" s="292">
        <f t="shared" si="2"/>
        <v>1550000</v>
      </c>
      <c r="L11" s="293">
        <v>1.65</v>
      </c>
      <c r="M11" s="725"/>
    </row>
    <row r="12" spans="1:13" x14ac:dyDescent="0.25">
      <c r="A12" s="286" t="s">
        <v>60</v>
      </c>
      <c r="B12" s="287" t="s">
        <v>253</v>
      </c>
      <c r="C12" s="288">
        <f t="shared" si="0"/>
        <v>107000</v>
      </c>
      <c r="D12" s="289">
        <f t="shared" si="1"/>
        <v>93000</v>
      </c>
      <c r="E12" s="290">
        <v>0</v>
      </c>
      <c r="F12" s="290">
        <v>93000</v>
      </c>
      <c r="G12" s="290">
        <v>0</v>
      </c>
      <c r="H12" s="290">
        <v>0</v>
      </c>
      <c r="I12" s="291">
        <v>14000</v>
      </c>
      <c r="J12" s="288">
        <v>0</v>
      </c>
      <c r="K12" s="292">
        <f t="shared" si="2"/>
        <v>107000</v>
      </c>
      <c r="L12" s="293">
        <v>0</v>
      </c>
      <c r="M12" s="725"/>
    </row>
    <row r="13" spans="1:13" x14ac:dyDescent="0.25">
      <c r="A13" s="286" t="s">
        <v>61</v>
      </c>
      <c r="B13" s="287" t="s">
        <v>254</v>
      </c>
      <c r="C13" s="288">
        <f t="shared" si="0"/>
        <v>40000</v>
      </c>
      <c r="D13" s="289">
        <f t="shared" si="1"/>
        <v>30000</v>
      </c>
      <c r="E13" s="294">
        <v>0</v>
      </c>
      <c r="F13" s="294">
        <v>30000</v>
      </c>
      <c r="G13" s="294">
        <v>0</v>
      </c>
      <c r="H13" s="294">
        <v>0</v>
      </c>
      <c r="I13" s="295">
        <v>10000</v>
      </c>
      <c r="J13" s="288">
        <v>0</v>
      </c>
      <c r="K13" s="292">
        <f t="shared" si="2"/>
        <v>40000</v>
      </c>
      <c r="L13" s="293">
        <v>0</v>
      </c>
      <c r="M13" s="725"/>
    </row>
    <row r="14" spans="1:13" x14ac:dyDescent="0.25">
      <c r="A14" s="286" t="s">
        <v>62</v>
      </c>
      <c r="B14" s="287" t="s">
        <v>255</v>
      </c>
      <c r="C14" s="288">
        <f t="shared" si="0"/>
        <v>1263070</v>
      </c>
      <c r="D14" s="289">
        <f t="shared" si="1"/>
        <v>426300</v>
      </c>
      <c r="E14" s="294">
        <v>172800</v>
      </c>
      <c r="F14" s="294">
        <v>253500</v>
      </c>
      <c r="G14" s="294">
        <v>110980</v>
      </c>
      <c r="H14" s="294">
        <v>2592</v>
      </c>
      <c r="I14" s="295">
        <f>724060-862</f>
        <v>723198</v>
      </c>
      <c r="J14" s="288">
        <v>0</v>
      </c>
      <c r="K14" s="292">
        <f>C14-J14</f>
        <v>1263070</v>
      </c>
      <c r="L14" s="293">
        <v>0.6</v>
      </c>
      <c r="M14" s="725"/>
    </row>
    <row r="15" spans="1:13" x14ac:dyDescent="0.25">
      <c r="A15" s="286" t="s">
        <v>63</v>
      </c>
      <c r="B15" s="287" t="s">
        <v>256</v>
      </c>
      <c r="C15" s="288">
        <f t="shared" si="0"/>
        <v>250000</v>
      </c>
      <c r="D15" s="289">
        <f t="shared" si="1"/>
        <v>230000</v>
      </c>
      <c r="E15" s="294"/>
      <c r="F15" s="294">
        <v>230000</v>
      </c>
      <c r="G15" s="294"/>
      <c r="H15" s="294"/>
      <c r="I15" s="295">
        <v>20000</v>
      </c>
      <c r="J15" s="288">
        <v>0</v>
      </c>
      <c r="K15" s="292">
        <f t="shared" si="2"/>
        <v>250000</v>
      </c>
      <c r="L15" s="293">
        <v>0</v>
      </c>
      <c r="M15" s="725"/>
    </row>
    <row r="16" spans="1:13" x14ac:dyDescent="0.25">
      <c r="A16" s="286" t="s">
        <v>185</v>
      </c>
      <c r="B16" s="287" t="s">
        <v>257</v>
      </c>
      <c r="C16" s="288">
        <f t="shared" si="0"/>
        <v>300000</v>
      </c>
      <c r="D16" s="289">
        <f t="shared" si="1"/>
        <v>250000</v>
      </c>
      <c r="E16" s="294">
        <v>0</v>
      </c>
      <c r="F16" s="294">
        <v>250000</v>
      </c>
      <c r="G16" s="294">
        <v>0</v>
      </c>
      <c r="H16" s="294">
        <v>0</v>
      </c>
      <c r="I16" s="295">
        <v>50000</v>
      </c>
      <c r="J16" s="288">
        <v>0</v>
      </c>
      <c r="K16" s="292">
        <f t="shared" si="2"/>
        <v>300000</v>
      </c>
      <c r="L16" s="293">
        <v>0</v>
      </c>
      <c r="M16" s="725"/>
    </row>
    <row r="17" spans="1:17" x14ac:dyDescent="0.25">
      <c r="A17" s="286" t="s">
        <v>186</v>
      </c>
      <c r="B17" s="287" t="s">
        <v>258</v>
      </c>
      <c r="C17" s="288">
        <f t="shared" si="0"/>
        <v>400000</v>
      </c>
      <c r="D17" s="289">
        <f t="shared" si="1"/>
        <v>300000</v>
      </c>
      <c r="E17" s="294"/>
      <c r="F17" s="294">
        <v>300000</v>
      </c>
      <c r="G17" s="294"/>
      <c r="H17" s="294"/>
      <c r="I17" s="295">
        <v>100000</v>
      </c>
      <c r="J17" s="288">
        <v>0</v>
      </c>
      <c r="K17" s="292">
        <f t="shared" si="2"/>
        <v>400000</v>
      </c>
      <c r="L17" s="293">
        <v>0</v>
      </c>
      <c r="M17" s="725"/>
    </row>
    <row r="18" spans="1:17" x14ac:dyDescent="0.25">
      <c r="A18" s="286" t="s">
        <v>206</v>
      </c>
      <c r="B18" s="287" t="s">
        <v>259</v>
      </c>
      <c r="C18" s="288">
        <f t="shared" si="0"/>
        <v>200000</v>
      </c>
      <c r="D18" s="289">
        <f t="shared" si="1"/>
        <v>200000</v>
      </c>
      <c r="E18" s="294">
        <v>0</v>
      </c>
      <c r="F18" s="294">
        <v>200000</v>
      </c>
      <c r="G18" s="294">
        <v>0</v>
      </c>
      <c r="H18" s="294">
        <v>0</v>
      </c>
      <c r="I18" s="295">
        <v>0</v>
      </c>
      <c r="J18" s="288">
        <v>0</v>
      </c>
      <c r="K18" s="292">
        <f t="shared" si="2"/>
        <v>200000</v>
      </c>
      <c r="L18" s="293">
        <v>0</v>
      </c>
      <c r="M18" s="725"/>
    </row>
    <row r="19" spans="1:17" ht="15.75" thickBot="1" x14ac:dyDescent="0.3">
      <c r="A19" s="296" t="s">
        <v>208</v>
      </c>
      <c r="B19" s="297" t="s">
        <v>260</v>
      </c>
      <c r="C19" s="298">
        <f t="shared" si="0"/>
        <v>100000</v>
      </c>
      <c r="D19" s="299">
        <f t="shared" si="1"/>
        <v>20000</v>
      </c>
      <c r="E19" s="300">
        <v>0</v>
      </c>
      <c r="F19" s="300">
        <v>20000</v>
      </c>
      <c r="G19" s="300">
        <v>0</v>
      </c>
      <c r="H19" s="300">
        <v>0</v>
      </c>
      <c r="I19" s="301">
        <v>80000</v>
      </c>
      <c r="J19" s="298">
        <v>0</v>
      </c>
      <c r="K19" s="302">
        <f t="shared" si="2"/>
        <v>100000</v>
      </c>
      <c r="L19" s="303">
        <v>0</v>
      </c>
      <c r="M19" s="725"/>
    </row>
    <row r="20" spans="1:17" ht="15.75" thickBot="1" x14ac:dyDescent="0.3">
      <c r="A20" s="742" t="s">
        <v>261</v>
      </c>
      <c r="B20" s="743"/>
      <c r="C20" s="304">
        <f>SUM(D20+G20+H20+I20)</f>
        <v>14410318</v>
      </c>
      <c r="D20" s="305">
        <f>SUM(E20+F20)</f>
        <v>9700535</v>
      </c>
      <c r="E20" s="306">
        <f t="shared" ref="E20:J20" si="3">SUM(E8:E19)</f>
        <v>5613235</v>
      </c>
      <c r="F20" s="306">
        <f t="shared" si="3"/>
        <v>4087300</v>
      </c>
      <c r="G20" s="306">
        <f t="shared" si="3"/>
        <v>2326960</v>
      </c>
      <c r="H20" s="306">
        <f t="shared" si="3"/>
        <v>84199</v>
      </c>
      <c r="I20" s="307">
        <f t="shared" si="3"/>
        <v>2298624</v>
      </c>
      <c r="J20" s="304">
        <f t="shared" si="3"/>
        <v>0</v>
      </c>
      <c r="K20" s="304">
        <f>SUM(C20-J20)</f>
        <v>14410318</v>
      </c>
      <c r="L20" s="308">
        <f>SUM(L8:L19)</f>
        <v>16.11</v>
      </c>
      <c r="M20" s="726"/>
    </row>
    <row r="21" spans="1:17" ht="15.75" thickBot="1" x14ac:dyDescent="0.3">
      <c r="A21" s="278" t="s">
        <v>210</v>
      </c>
      <c r="B21" s="279" t="s">
        <v>150</v>
      </c>
      <c r="C21" s="280">
        <f>SUM(D21+G21+H21+I21)</f>
        <v>34034030</v>
      </c>
      <c r="D21" s="281">
        <f>SUM(E21+F21)</f>
        <v>19049700</v>
      </c>
      <c r="E21" s="309">
        <f>5753200+274000</f>
        <v>6027200</v>
      </c>
      <c r="F21" s="309">
        <f>13296500-274000</f>
        <v>13022500</v>
      </c>
      <c r="G21" s="309">
        <v>6510860</v>
      </c>
      <c r="H21" s="309">
        <f>86298+4110</f>
        <v>90408</v>
      </c>
      <c r="I21" s="310">
        <f>8415940-28768-4110</f>
        <v>8383062</v>
      </c>
      <c r="J21" s="280">
        <v>0</v>
      </c>
      <c r="K21" s="284">
        <f>SUM(C21-J21)</f>
        <v>34034030</v>
      </c>
      <c r="L21" s="285">
        <v>15.4</v>
      </c>
      <c r="M21" s="749" t="s">
        <v>262</v>
      </c>
      <c r="Q21" s="253"/>
    </row>
    <row r="22" spans="1:17" ht="15.75" thickBot="1" x14ac:dyDescent="0.3">
      <c r="A22" s="750" t="s">
        <v>263</v>
      </c>
      <c r="B22" s="751"/>
      <c r="C22" s="311">
        <f>D22+G22+H22+I22</f>
        <v>48444348</v>
      </c>
      <c r="D22" s="312">
        <f>E22+F22</f>
        <v>28750235</v>
      </c>
      <c r="E22" s="313">
        <f>E20+E21</f>
        <v>11640435</v>
      </c>
      <c r="F22" s="313">
        <f>F20+F21</f>
        <v>17109800</v>
      </c>
      <c r="G22" s="313">
        <f>G20+G21</f>
        <v>8837820</v>
      </c>
      <c r="H22" s="313">
        <f>H20+H21</f>
        <v>174607</v>
      </c>
      <c r="I22" s="314">
        <f>I20+I21</f>
        <v>10681686</v>
      </c>
      <c r="J22" s="311"/>
      <c r="K22" s="315">
        <f>C22-J22</f>
        <v>48444348</v>
      </c>
      <c r="L22" s="316">
        <f>L20+L21</f>
        <v>31.509999999999998</v>
      </c>
      <c r="M22" s="726"/>
    </row>
    <row r="23" spans="1:17" ht="28.5" customHeight="1" thickBot="1" x14ac:dyDescent="0.3">
      <c r="A23" s="317" t="s">
        <v>56</v>
      </c>
      <c r="B23" s="598" t="s">
        <v>127</v>
      </c>
      <c r="C23" s="288">
        <f>D23+G23+H23+I23</f>
        <v>5028118</v>
      </c>
      <c r="D23" s="289">
        <f>E23+F23</f>
        <v>2920200</v>
      </c>
      <c r="E23" s="294">
        <v>802200</v>
      </c>
      <c r="F23" s="294">
        <v>2118000</v>
      </c>
      <c r="G23" s="294">
        <v>769896</v>
      </c>
      <c r="H23" s="294">
        <v>12033</v>
      </c>
      <c r="I23" s="295">
        <f>1330000-4011</f>
        <v>1325989</v>
      </c>
      <c r="J23" s="288"/>
      <c r="K23" s="292">
        <f>C23-J23</f>
        <v>5028118</v>
      </c>
      <c r="L23" s="293">
        <v>2</v>
      </c>
      <c r="M23" s="749" t="s">
        <v>264</v>
      </c>
    </row>
    <row r="24" spans="1:17" ht="15.75" thickBot="1" x14ac:dyDescent="0.3">
      <c r="A24" s="750" t="s">
        <v>238</v>
      </c>
      <c r="B24" s="751"/>
      <c r="C24" s="311">
        <f>D24+G24+H24+I24</f>
        <v>5028118</v>
      </c>
      <c r="D24" s="312">
        <f>E24+F24</f>
        <v>2920200</v>
      </c>
      <c r="E24" s="313">
        <f>E23</f>
        <v>802200</v>
      </c>
      <c r="F24" s="313">
        <f>F23</f>
        <v>2118000</v>
      </c>
      <c r="G24" s="313">
        <f>G23</f>
        <v>769896</v>
      </c>
      <c r="H24" s="313">
        <f>H23</f>
        <v>12033</v>
      </c>
      <c r="I24" s="314">
        <f>I23</f>
        <v>1325989</v>
      </c>
      <c r="J24" s="311"/>
      <c r="K24" s="315">
        <f>C24-J24</f>
        <v>5028118</v>
      </c>
      <c r="L24" s="316">
        <f>L23</f>
        <v>2</v>
      </c>
      <c r="M24" s="726"/>
    </row>
    <row r="25" spans="1:17" x14ac:dyDescent="0.25">
      <c r="A25" s="752" t="s">
        <v>11</v>
      </c>
      <c r="B25" s="753"/>
      <c r="C25" s="318">
        <f>D25+G25+H25+I25</f>
        <v>53472466</v>
      </c>
      <c r="D25" s="319">
        <f>E25+F25</f>
        <v>31670435</v>
      </c>
      <c r="E25" s="320">
        <f>E22+E24</f>
        <v>12442635</v>
      </c>
      <c r="F25" s="320">
        <f>F22+F24</f>
        <v>19227800</v>
      </c>
      <c r="G25" s="320">
        <f>G22+G24</f>
        <v>9607716</v>
      </c>
      <c r="H25" s="320">
        <f>H22+H24</f>
        <v>186640</v>
      </c>
      <c r="I25" s="321">
        <f>I22+I24</f>
        <v>12007675</v>
      </c>
      <c r="J25" s="318"/>
      <c r="K25" s="318">
        <f>C25-J25</f>
        <v>53472466</v>
      </c>
      <c r="L25" s="322">
        <f>L22+L24</f>
        <v>33.51</v>
      </c>
      <c r="M25" s="323"/>
    </row>
    <row r="28" spans="1:17" x14ac:dyDescent="0.25">
      <c r="D28" s="253"/>
      <c r="E28" s="253"/>
      <c r="F28" s="253"/>
      <c r="G28" s="253"/>
      <c r="H28" s="253"/>
      <c r="I28" s="253"/>
      <c r="K28" s="253"/>
    </row>
    <row r="29" spans="1:17" x14ac:dyDescent="0.25">
      <c r="D29" s="253"/>
      <c r="E29" s="253"/>
      <c r="F29" s="253"/>
      <c r="G29" s="253"/>
      <c r="H29" s="253"/>
      <c r="I29" s="253"/>
      <c r="K29" s="253"/>
      <c r="M29" s="253"/>
    </row>
    <row r="30" spans="1:17" x14ac:dyDescent="0.25">
      <c r="D30" s="253"/>
      <c r="E30" s="253"/>
      <c r="F30" s="253"/>
      <c r="G30" s="253"/>
      <c r="H30" s="253"/>
      <c r="I30" s="253"/>
      <c r="K30" s="263"/>
      <c r="M30" s="253"/>
    </row>
    <row r="31" spans="1:17" x14ac:dyDescent="0.25">
      <c r="D31" s="253"/>
      <c r="E31" s="253"/>
      <c r="F31" s="253"/>
      <c r="G31" s="253"/>
      <c r="H31" s="253"/>
      <c r="I31" s="253"/>
      <c r="M31" s="253"/>
    </row>
  </sheetData>
  <mergeCells count="18">
    <mergeCell ref="M21:M22"/>
    <mergeCell ref="A22:B22"/>
    <mergeCell ref="M23:M24"/>
    <mergeCell ref="A24:B24"/>
    <mergeCell ref="A25:B25"/>
    <mergeCell ref="M8:M20"/>
    <mergeCell ref="A4:A7"/>
    <mergeCell ref="B4:B7"/>
    <mergeCell ref="C4:C6"/>
    <mergeCell ref="J4:J6"/>
    <mergeCell ref="K4:K6"/>
    <mergeCell ref="L4:L6"/>
    <mergeCell ref="A20:B20"/>
    <mergeCell ref="M4:M6"/>
    <mergeCell ref="D5:D6"/>
    <mergeCell ref="G5:G6"/>
    <mergeCell ref="H5:H6"/>
    <mergeCell ref="I5:I6"/>
  </mergeCells>
  <printOptions horizontalCentered="1"/>
  <pageMargins left="0.70866141732283472" right="0.70866141732283472" top="0.78740157480314965" bottom="0.78740157480314965" header="0.51181102362204722" footer="0.31496062992125984"/>
  <pageSetup paperSize="9" scale="80" orientation="landscape" r:id="rId1"/>
  <headerFooter alignWithMargins="0">
    <oddHeader>&amp;RKapitola C.VI
&amp;"-,Tučné"Tabulka č. 1c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opLeftCell="A41" workbookViewId="0">
      <selection activeCell="N92" sqref="N92"/>
    </sheetView>
  </sheetViews>
  <sheetFormatPr defaultRowHeight="12.75" x14ac:dyDescent="0.2"/>
  <cols>
    <col min="1" max="1" width="2" style="29" customWidth="1"/>
    <col min="2" max="2" width="60" style="29" customWidth="1"/>
    <col min="3" max="3" width="14.28515625" style="29" customWidth="1"/>
    <col min="4" max="4" width="15.85546875" style="29" customWidth="1"/>
    <col min="5" max="5" width="14.140625" style="29" customWidth="1"/>
    <col min="6" max="6" width="13.28515625" style="29" customWidth="1"/>
    <col min="7" max="7" width="14.42578125" style="29" customWidth="1"/>
    <col min="8" max="8" width="12.42578125" style="29" customWidth="1"/>
    <col min="9" max="9" width="14.7109375" style="29" customWidth="1"/>
    <col min="10" max="10" width="8.85546875" style="29" customWidth="1"/>
    <col min="11" max="11" width="15.28515625" style="29" customWidth="1"/>
    <col min="12" max="12" width="9.42578125" style="29" customWidth="1"/>
    <col min="13" max="256" width="9.140625" style="29"/>
    <col min="257" max="257" width="2" style="29" customWidth="1"/>
    <col min="258" max="258" width="60" style="29" customWidth="1"/>
    <col min="259" max="259" width="14.28515625" style="29" customWidth="1"/>
    <col min="260" max="260" width="15.85546875" style="29" customWidth="1"/>
    <col min="261" max="261" width="14.140625" style="29" customWidth="1"/>
    <col min="262" max="262" width="13.28515625" style="29" customWidth="1"/>
    <col min="263" max="263" width="14.42578125" style="29" customWidth="1"/>
    <col min="264" max="264" width="12.42578125" style="29" customWidth="1"/>
    <col min="265" max="265" width="14.7109375" style="29" customWidth="1"/>
    <col min="266" max="266" width="8.85546875" style="29" customWidth="1"/>
    <col min="267" max="267" width="15.28515625" style="29" customWidth="1"/>
    <col min="268" max="268" width="9.42578125" style="29" customWidth="1"/>
    <col min="269" max="512" width="9.140625" style="29"/>
    <col min="513" max="513" width="2" style="29" customWidth="1"/>
    <col min="514" max="514" width="60" style="29" customWidth="1"/>
    <col min="515" max="515" width="14.28515625" style="29" customWidth="1"/>
    <col min="516" max="516" width="15.85546875" style="29" customWidth="1"/>
    <col min="517" max="517" width="14.140625" style="29" customWidth="1"/>
    <col min="518" max="518" width="13.28515625" style="29" customWidth="1"/>
    <col min="519" max="519" width="14.42578125" style="29" customWidth="1"/>
    <col min="520" max="520" width="12.42578125" style="29" customWidth="1"/>
    <col min="521" max="521" width="14.7109375" style="29" customWidth="1"/>
    <col min="522" max="522" width="8.85546875" style="29" customWidth="1"/>
    <col min="523" max="523" width="15.28515625" style="29" customWidth="1"/>
    <col min="524" max="524" width="9.42578125" style="29" customWidth="1"/>
    <col min="525" max="768" width="9.140625" style="29"/>
    <col min="769" max="769" width="2" style="29" customWidth="1"/>
    <col min="770" max="770" width="60" style="29" customWidth="1"/>
    <col min="771" max="771" width="14.28515625" style="29" customWidth="1"/>
    <col min="772" max="772" width="15.85546875" style="29" customWidth="1"/>
    <col min="773" max="773" width="14.140625" style="29" customWidth="1"/>
    <col min="774" max="774" width="13.28515625" style="29" customWidth="1"/>
    <col min="775" max="775" width="14.42578125" style="29" customWidth="1"/>
    <col min="776" max="776" width="12.42578125" style="29" customWidth="1"/>
    <col min="777" max="777" width="14.7109375" style="29" customWidth="1"/>
    <col min="778" max="778" width="8.85546875" style="29" customWidth="1"/>
    <col min="779" max="779" width="15.28515625" style="29" customWidth="1"/>
    <col min="780" max="780" width="9.42578125" style="29" customWidth="1"/>
    <col min="781" max="1024" width="9.140625" style="29"/>
    <col min="1025" max="1025" width="2" style="29" customWidth="1"/>
    <col min="1026" max="1026" width="60" style="29" customWidth="1"/>
    <col min="1027" max="1027" width="14.28515625" style="29" customWidth="1"/>
    <col min="1028" max="1028" width="15.85546875" style="29" customWidth="1"/>
    <col min="1029" max="1029" width="14.140625" style="29" customWidth="1"/>
    <col min="1030" max="1030" width="13.28515625" style="29" customWidth="1"/>
    <col min="1031" max="1031" width="14.42578125" style="29" customWidth="1"/>
    <col min="1032" max="1032" width="12.42578125" style="29" customWidth="1"/>
    <col min="1033" max="1033" width="14.7109375" style="29" customWidth="1"/>
    <col min="1034" max="1034" width="8.85546875" style="29" customWidth="1"/>
    <col min="1035" max="1035" width="15.28515625" style="29" customWidth="1"/>
    <col min="1036" max="1036" width="9.42578125" style="29" customWidth="1"/>
    <col min="1037" max="1280" width="9.140625" style="29"/>
    <col min="1281" max="1281" width="2" style="29" customWidth="1"/>
    <col min="1282" max="1282" width="60" style="29" customWidth="1"/>
    <col min="1283" max="1283" width="14.28515625" style="29" customWidth="1"/>
    <col min="1284" max="1284" width="15.85546875" style="29" customWidth="1"/>
    <col min="1285" max="1285" width="14.140625" style="29" customWidth="1"/>
    <col min="1286" max="1286" width="13.28515625" style="29" customWidth="1"/>
    <col min="1287" max="1287" width="14.42578125" style="29" customWidth="1"/>
    <col min="1288" max="1288" width="12.42578125" style="29" customWidth="1"/>
    <col min="1289" max="1289" width="14.7109375" style="29" customWidth="1"/>
    <col min="1290" max="1290" width="8.85546875" style="29" customWidth="1"/>
    <col min="1291" max="1291" width="15.28515625" style="29" customWidth="1"/>
    <col min="1292" max="1292" width="9.42578125" style="29" customWidth="1"/>
    <col min="1293" max="1536" width="9.140625" style="29"/>
    <col min="1537" max="1537" width="2" style="29" customWidth="1"/>
    <col min="1538" max="1538" width="60" style="29" customWidth="1"/>
    <col min="1539" max="1539" width="14.28515625" style="29" customWidth="1"/>
    <col min="1540" max="1540" width="15.85546875" style="29" customWidth="1"/>
    <col min="1541" max="1541" width="14.140625" style="29" customWidth="1"/>
    <col min="1542" max="1542" width="13.28515625" style="29" customWidth="1"/>
    <col min="1543" max="1543" width="14.42578125" style="29" customWidth="1"/>
    <col min="1544" max="1544" width="12.42578125" style="29" customWidth="1"/>
    <col min="1545" max="1545" width="14.7109375" style="29" customWidth="1"/>
    <col min="1546" max="1546" width="8.85546875" style="29" customWidth="1"/>
    <col min="1547" max="1547" width="15.28515625" style="29" customWidth="1"/>
    <col min="1548" max="1548" width="9.42578125" style="29" customWidth="1"/>
    <col min="1549" max="1792" width="9.140625" style="29"/>
    <col min="1793" max="1793" width="2" style="29" customWidth="1"/>
    <col min="1794" max="1794" width="60" style="29" customWidth="1"/>
    <col min="1795" max="1795" width="14.28515625" style="29" customWidth="1"/>
    <col min="1796" max="1796" width="15.85546875" style="29" customWidth="1"/>
    <col min="1797" max="1797" width="14.140625" style="29" customWidth="1"/>
    <col min="1798" max="1798" width="13.28515625" style="29" customWidth="1"/>
    <col min="1799" max="1799" width="14.42578125" style="29" customWidth="1"/>
    <col min="1800" max="1800" width="12.42578125" style="29" customWidth="1"/>
    <col min="1801" max="1801" width="14.7109375" style="29" customWidth="1"/>
    <col min="1802" max="1802" width="8.85546875" style="29" customWidth="1"/>
    <col min="1803" max="1803" width="15.28515625" style="29" customWidth="1"/>
    <col min="1804" max="1804" width="9.42578125" style="29" customWidth="1"/>
    <col min="1805" max="2048" width="9.140625" style="29"/>
    <col min="2049" max="2049" width="2" style="29" customWidth="1"/>
    <col min="2050" max="2050" width="60" style="29" customWidth="1"/>
    <col min="2051" max="2051" width="14.28515625" style="29" customWidth="1"/>
    <col min="2052" max="2052" width="15.85546875" style="29" customWidth="1"/>
    <col min="2053" max="2053" width="14.140625" style="29" customWidth="1"/>
    <col min="2054" max="2054" width="13.28515625" style="29" customWidth="1"/>
    <col min="2055" max="2055" width="14.42578125" style="29" customWidth="1"/>
    <col min="2056" max="2056" width="12.42578125" style="29" customWidth="1"/>
    <col min="2057" max="2057" width="14.7109375" style="29" customWidth="1"/>
    <col min="2058" max="2058" width="8.85546875" style="29" customWidth="1"/>
    <col min="2059" max="2059" width="15.28515625" style="29" customWidth="1"/>
    <col min="2060" max="2060" width="9.42578125" style="29" customWidth="1"/>
    <col min="2061" max="2304" width="9.140625" style="29"/>
    <col min="2305" max="2305" width="2" style="29" customWidth="1"/>
    <col min="2306" max="2306" width="60" style="29" customWidth="1"/>
    <col min="2307" max="2307" width="14.28515625" style="29" customWidth="1"/>
    <col min="2308" max="2308" width="15.85546875" style="29" customWidth="1"/>
    <col min="2309" max="2309" width="14.140625" style="29" customWidth="1"/>
    <col min="2310" max="2310" width="13.28515625" style="29" customWidth="1"/>
    <col min="2311" max="2311" width="14.42578125" style="29" customWidth="1"/>
    <col min="2312" max="2312" width="12.42578125" style="29" customWidth="1"/>
    <col min="2313" max="2313" width="14.7109375" style="29" customWidth="1"/>
    <col min="2314" max="2314" width="8.85546875" style="29" customWidth="1"/>
    <col min="2315" max="2315" width="15.28515625" style="29" customWidth="1"/>
    <col min="2316" max="2316" width="9.42578125" style="29" customWidth="1"/>
    <col min="2317" max="2560" width="9.140625" style="29"/>
    <col min="2561" max="2561" width="2" style="29" customWidth="1"/>
    <col min="2562" max="2562" width="60" style="29" customWidth="1"/>
    <col min="2563" max="2563" width="14.28515625" style="29" customWidth="1"/>
    <col min="2564" max="2564" width="15.85546875" style="29" customWidth="1"/>
    <col min="2565" max="2565" width="14.140625" style="29" customWidth="1"/>
    <col min="2566" max="2566" width="13.28515625" style="29" customWidth="1"/>
    <col min="2567" max="2567" width="14.42578125" style="29" customWidth="1"/>
    <col min="2568" max="2568" width="12.42578125" style="29" customWidth="1"/>
    <col min="2569" max="2569" width="14.7109375" style="29" customWidth="1"/>
    <col min="2570" max="2570" width="8.85546875" style="29" customWidth="1"/>
    <col min="2571" max="2571" width="15.28515625" style="29" customWidth="1"/>
    <col min="2572" max="2572" width="9.42578125" style="29" customWidth="1"/>
    <col min="2573" max="2816" width="9.140625" style="29"/>
    <col min="2817" max="2817" width="2" style="29" customWidth="1"/>
    <col min="2818" max="2818" width="60" style="29" customWidth="1"/>
    <col min="2819" max="2819" width="14.28515625" style="29" customWidth="1"/>
    <col min="2820" max="2820" width="15.85546875" style="29" customWidth="1"/>
    <col min="2821" max="2821" width="14.140625" style="29" customWidth="1"/>
    <col min="2822" max="2822" width="13.28515625" style="29" customWidth="1"/>
    <col min="2823" max="2823" width="14.42578125" style="29" customWidth="1"/>
    <col min="2824" max="2824" width="12.42578125" style="29" customWidth="1"/>
    <col min="2825" max="2825" width="14.7109375" style="29" customWidth="1"/>
    <col min="2826" max="2826" width="8.85546875" style="29" customWidth="1"/>
    <col min="2827" max="2827" width="15.28515625" style="29" customWidth="1"/>
    <col min="2828" max="2828" width="9.42578125" style="29" customWidth="1"/>
    <col min="2829" max="3072" width="9.140625" style="29"/>
    <col min="3073" max="3073" width="2" style="29" customWidth="1"/>
    <col min="3074" max="3074" width="60" style="29" customWidth="1"/>
    <col min="3075" max="3075" width="14.28515625" style="29" customWidth="1"/>
    <col min="3076" max="3076" width="15.85546875" style="29" customWidth="1"/>
    <col min="3077" max="3077" width="14.140625" style="29" customWidth="1"/>
    <col min="3078" max="3078" width="13.28515625" style="29" customWidth="1"/>
    <col min="3079" max="3079" width="14.42578125" style="29" customWidth="1"/>
    <col min="3080" max="3080" width="12.42578125" style="29" customWidth="1"/>
    <col min="3081" max="3081" width="14.7109375" style="29" customWidth="1"/>
    <col min="3082" max="3082" width="8.85546875" style="29" customWidth="1"/>
    <col min="3083" max="3083" width="15.28515625" style="29" customWidth="1"/>
    <col min="3084" max="3084" width="9.42578125" style="29" customWidth="1"/>
    <col min="3085" max="3328" width="9.140625" style="29"/>
    <col min="3329" max="3329" width="2" style="29" customWidth="1"/>
    <col min="3330" max="3330" width="60" style="29" customWidth="1"/>
    <col min="3331" max="3331" width="14.28515625" style="29" customWidth="1"/>
    <col min="3332" max="3332" width="15.85546875" style="29" customWidth="1"/>
    <col min="3333" max="3333" width="14.140625" style="29" customWidth="1"/>
    <col min="3334" max="3334" width="13.28515625" style="29" customWidth="1"/>
    <col min="3335" max="3335" width="14.42578125" style="29" customWidth="1"/>
    <col min="3336" max="3336" width="12.42578125" style="29" customWidth="1"/>
    <col min="3337" max="3337" width="14.7109375" style="29" customWidth="1"/>
    <col min="3338" max="3338" width="8.85546875" style="29" customWidth="1"/>
    <col min="3339" max="3339" width="15.28515625" style="29" customWidth="1"/>
    <col min="3340" max="3340" width="9.42578125" style="29" customWidth="1"/>
    <col min="3341" max="3584" width="9.140625" style="29"/>
    <col min="3585" max="3585" width="2" style="29" customWidth="1"/>
    <col min="3586" max="3586" width="60" style="29" customWidth="1"/>
    <col min="3587" max="3587" width="14.28515625" style="29" customWidth="1"/>
    <col min="3588" max="3588" width="15.85546875" style="29" customWidth="1"/>
    <col min="3589" max="3589" width="14.140625" style="29" customWidth="1"/>
    <col min="3590" max="3590" width="13.28515625" style="29" customWidth="1"/>
    <col min="3591" max="3591" width="14.42578125" style="29" customWidth="1"/>
    <col min="3592" max="3592" width="12.42578125" style="29" customWidth="1"/>
    <col min="3593" max="3593" width="14.7109375" style="29" customWidth="1"/>
    <col min="3594" max="3594" width="8.85546875" style="29" customWidth="1"/>
    <col min="3595" max="3595" width="15.28515625" style="29" customWidth="1"/>
    <col min="3596" max="3596" width="9.42578125" style="29" customWidth="1"/>
    <col min="3597" max="3840" width="9.140625" style="29"/>
    <col min="3841" max="3841" width="2" style="29" customWidth="1"/>
    <col min="3842" max="3842" width="60" style="29" customWidth="1"/>
    <col min="3843" max="3843" width="14.28515625" style="29" customWidth="1"/>
    <col min="3844" max="3844" width="15.85546875" style="29" customWidth="1"/>
    <col min="3845" max="3845" width="14.140625" style="29" customWidth="1"/>
    <col min="3846" max="3846" width="13.28515625" style="29" customWidth="1"/>
    <col min="3847" max="3847" width="14.42578125" style="29" customWidth="1"/>
    <col min="3848" max="3848" width="12.42578125" style="29" customWidth="1"/>
    <col min="3849" max="3849" width="14.7109375" style="29" customWidth="1"/>
    <col min="3850" max="3850" width="8.85546875" style="29" customWidth="1"/>
    <col min="3851" max="3851" width="15.28515625" style="29" customWidth="1"/>
    <col min="3852" max="3852" width="9.42578125" style="29" customWidth="1"/>
    <col min="3853" max="4096" width="9.140625" style="29"/>
    <col min="4097" max="4097" width="2" style="29" customWidth="1"/>
    <col min="4098" max="4098" width="60" style="29" customWidth="1"/>
    <col min="4099" max="4099" width="14.28515625" style="29" customWidth="1"/>
    <col min="4100" max="4100" width="15.85546875" style="29" customWidth="1"/>
    <col min="4101" max="4101" width="14.140625" style="29" customWidth="1"/>
    <col min="4102" max="4102" width="13.28515625" style="29" customWidth="1"/>
    <col min="4103" max="4103" width="14.42578125" style="29" customWidth="1"/>
    <col min="4104" max="4104" width="12.42578125" style="29" customWidth="1"/>
    <col min="4105" max="4105" width="14.7109375" style="29" customWidth="1"/>
    <col min="4106" max="4106" width="8.85546875" style="29" customWidth="1"/>
    <col min="4107" max="4107" width="15.28515625" style="29" customWidth="1"/>
    <col min="4108" max="4108" width="9.42578125" style="29" customWidth="1"/>
    <col min="4109" max="4352" width="9.140625" style="29"/>
    <col min="4353" max="4353" width="2" style="29" customWidth="1"/>
    <col min="4354" max="4354" width="60" style="29" customWidth="1"/>
    <col min="4355" max="4355" width="14.28515625" style="29" customWidth="1"/>
    <col min="4356" max="4356" width="15.85546875" style="29" customWidth="1"/>
    <col min="4357" max="4357" width="14.140625" style="29" customWidth="1"/>
    <col min="4358" max="4358" width="13.28515625" style="29" customWidth="1"/>
    <col min="4359" max="4359" width="14.42578125" style="29" customWidth="1"/>
    <col min="4360" max="4360" width="12.42578125" style="29" customWidth="1"/>
    <col min="4361" max="4361" width="14.7109375" style="29" customWidth="1"/>
    <col min="4362" max="4362" width="8.85546875" style="29" customWidth="1"/>
    <col min="4363" max="4363" width="15.28515625" style="29" customWidth="1"/>
    <col min="4364" max="4364" width="9.42578125" style="29" customWidth="1"/>
    <col min="4365" max="4608" width="9.140625" style="29"/>
    <col min="4609" max="4609" width="2" style="29" customWidth="1"/>
    <col min="4610" max="4610" width="60" style="29" customWidth="1"/>
    <col min="4611" max="4611" width="14.28515625" style="29" customWidth="1"/>
    <col min="4612" max="4612" width="15.85546875" style="29" customWidth="1"/>
    <col min="4613" max="4613" width="14.140625" style="29" customWidth="1"/>
    <col min="4614" max="4614" width="13.28515625" style="29" customWidth="1"/>
    <col min="4615" max="4615" width="14.42578125" style="29" customWidth="1"/>
    <col min="4616" max="4616" width="12.42578125" style="29" customWidth="1"/>
    <col min="4617" max="4617" width="14.7109375" style="29" customWidth="1"/>
    <col min="4618" max="4618" width="8.85546875" style="29" customWidth="1"/>
    <col min="4619" max="4619" width="15.28515625" style="29" customWidth="1"/>
    <col min="4620" max="4620" width="9.42578125" style="29" customWidth="1"/>
    <col min="4621" max="4864" width="9.140625" style="29"/>
    <col min="4865" max="4865" width="2" style="29" customWidth="1"/>
    <col min="4866" max="4866" width="60" style="29" customWidth="1"/>
    <col min="4867" max="4867" width="14.28515625" style="29" customWidth="1"/>
    <col min="4868" max="4868" width="15.85546875" style="29" customWidth="1"/>
    <col min="4869" max="4869" width="14.140625" style="29" customWidth="1"/>
    <col min="4870" max="4870" width="13.28515625" style="29" customWidth="1"/>
    <col min="4871" max="4871" width="14.42578125" style="29" customWidth="1"/>
    <col min="4872" max="4872" width="12.42578125" style="29" customWidth="1"/>
    <col min="4873" max="4873" width="14.7109375" style="29" customWidth="1"/>
    <col min="4874" max="4874" width="8.85546875" style="29" customWidth="1"/>
    <col min="4875" max="4875" width="15.28515625" style="29" customWidth="1"/>
    <col min="4876" max="4876" width="9.42578125" style="29" customWidth="1"/>
    <col min="4877" max="5120" width="9.140625" style="29"/>
    <col min="5121" max="5121" width="2" style="29" customWidth="1"/>
    <col min="5122" max="5122" width="60" style="29" customWidth="1"/>
    <col min="5123" max="5123" width="14.28515625" style="29" customWidth="1"/>
    <col min="5124" max="5124" width="15.85546875" style="29" customWidth="1"/>
    <col min="5125" max="5125" width="14.140625" style="29" customWidth="1"/>
    <col min="5126" max="5126" width="13.28515625" style="29" customWidth="1"/>
    <col min="5127" max="5127" width="14.42578125" style="29" customWidth="1"/>
    <col min="5128" max="5128" width="12.42578125" style="29" customWidth="1"/>
    <col min="5129" max="5129" width="14.7109375" style="29" customWidth="1"/>
    <col min="5130" max="5130" width="8.85546875" style="29" customWidth="1"/>
    <col min="5131" max="5131" width="15.28515625" style="29" customWidth="1"/>
    <col min="5132" max="5132" width="9.42578125" style="29" customWidth="1"/>
    <col min="5133" max="5376" width="9.140625" style="29"/>
    <col min="5377" max="5377" width="2" style="29" customWidth="1"/>
    <col min="5378" max="5378" width="60" style="29" customWidth="1"/>
    <col min="5379" max="5379" width="14.28515625" style="29" customWidth="1"/>
    <col min="5380" max="5380" width="15.85546875" style="29" customWidth="1"/>
    <col min="5381" max="5381" width="14.140625" style="29" customWidth="1"/>
    <col min="5382" max="5382" width="13.28515625" style="29" customWidth="1"/>
    <col min="5383" max="5383" width="14.42578125" style="29" customWidth="1"/>
    <col min="5384" max="5384" width="12.42578125" style="29" customWidth="1"/>
    <col min="5385" max="5385" width="14.7109375" style="29" customWidth="1"/>
    <col min="5386" max="5386" width="8.85546875" style="29" customWidth="1"/>
    <col min="5387" max="5387" width="15.28515625" style="29" customWidth="1"/>
    <col min="5388" max="5388" width="9.42578125" style="29" customWidth="1"/>
    <col min="5389" max="5632" width="9.140625" style="29"/>
    <col min="5633" max="5633" width="2" style="29" customWidth="1"/>
    <col min="5634" max="5634" width="60" style="29" customWidth="1"/>
    <col min="5635" max="5635" width="14.28515625" style="29" customWidth="1"/>
    <col min="5636" max="5636" width="15.85546875" style="29" customWidth="1"/>
    <col min="5637" max="5637" width="14.140625" style="29" customWidth="1"/>
    <col min="5638" max="5638" width="13.28515625" style="29" customWidth="1"/>
    <col min="5639" max="5639" width="14.42578125" style="29" customWidth="1"/>
    <col min="5640" max="5640" width="12.42578125" style="29" customWidth="1"/>
    <col min="5641" max="5641" width="14.7109375" style="29" customWidth="1"/>
    <col min="5642" max="5642" width="8.85546875" style="29" customWidth="1"/>
    <col min="5643" max="5643" width="15.28515625" style="29" customWidth="1"/>
    <col min="5644" max="5644" width="9.42578125" style="29" customWidth="1"/>
    <col min="5645" max="5888" width="9.140625" style="29"/>
    <col min="5889" max="5889" width="2" style="29" customWidth="1"/>
    <col min="5890" max="5890" width="60" style="29" customWidth="1"/>
    <col min="5891" max="5891" width="14.28515625" style="29" customWidth="1"/>
    <col min="5892" max="5892" width="15.85546875" style="29" customWidth="1"/>
    <col min="5893" max="5893" width="14.140625" style="29" customWidth="1"/>
    <col min="5894" max="5894" width="13.28515625" style="29" customWidth="1"/>
    <col min="5895" max="5895" width="14.42578125" style="29" customWidth="1"/>
    <col min="5896" max="5896" width="12.42578125" style="29" customWidth="1"/>
    <col min="5897" max="5897" width="14.7109375" style="29" customWidth="1"/>
    <col min="5898" max="5898" width="8.85546875" style="29" customWidth="1"/>
    <col min="5899" max="5899" width="15.28515625" style="29" customWidth="1"/>
    <col min="5900" max="5900" width="9.42578125" style="29" customWidth="1"/>
    <col min="5901" max="6144" width="9.140625" style="29"/>
    <col min="6145" max="6145" width="2" style="29" customWidth="1"/>
    <col min="6146" max="6146" width="60" style="29" customWidth="1"/>
    <col min="6147" max="6147" width="14.28515625" style="29" customWidth="1"/>
    <col min="6148" max="6148" width="15.85546875" style="29" customWidth="1"/>
    <col min="6149" max="6149" width="14.140625" style="29" customWidth="1"/>
    <col min="6150" max="6150" width="13.28515625" style="29" customWidth="1"/>
    <col min="6151" max="6151" width="14.42578125" style="29" customWidth="1"/>
    <col min="6152" max="6152" width="12.42578125" style="29" customWidth="1"/>
    <col min="6153" max="6153" width="14.7109375" style="29" customWidth="1"/>
    <col min="6154" max="6154" width="8.85546875" style="29" customWidth="1"/>
    <col min="6155" max="6155" width="15.28515625" style="29" customWidth="1"/>
    <col min="6156" max="6156" width="9.42578125" style="29" customWidth="1"/>
    <col min="6157" max="6400" width="9.140625" style="29"/>
    <col min="6401" max="6401" width="2" style="29" customWidth="1"/>
    <col min="6402" max="6402" width="60" style="29" customWidth="1"/>
    <col min="6403" max="6403" width="14.28515625" style="29" customWidth="1"/>
    <col min="6404" max="6404" width="15.85546875" style="29" customWidth="1"/>
    <col min="6405" max="6405" width="14.140625" style="29" customWidth="1"/>
    <col min="6406" max="6406" width="13.28515625" style="29" customWidth="1"/>
    <col min="6407" max="6407" width="14.42578125" style="29" customWidth="1"/>
    <col min="6408" max="6408" width="12.42578125" style="29" customWidth="1"/>
    <col min="6409" max="6409" width="14.7109375" style="29" customWidth="1"/>
    <col min="6410" max="6410" width="8.85546875" style="29" customWidth="1"/>
    <col min="6411" max="6411" width="15.28515625" style="29" customWidth="1"/>
    <col min="6412" max="6412" width="9.42578125" style="29" customWidth="1"/>
    <col min="6413" max="6656" width="9.140625" style="29"/>
    <col min="6657" max="6657" width="2" style="29" customWidth="1"/>
    <col min="6658" max="6658" width="60" style="29" customWidth="1"/>
    <col min="6659" max="6659" width="14.28515625" style="29" customWidth="1"/>
    <col min="6660" max="6660" width="15.85546875" style="29" customWidth="1"/>
    <col min="6661" max="6661" width="14.140625" style="29" customWidth="1"/>
    <col min="6662" max="6662" width="13.28515625" style="29" customWidth="1"/>
    <col min="6663" max="6663" width="14.42578125" style="29" customWidth="1"/>
    <col min="6664" max="6664" width="12.42578125" style="29" customWidth="1"/>
    <col min="6665" max="6665" width="14.7109375" style="29" customWidth="1"/>
    <col min="6666" max="6666" width="8.85546875" style="29" customWidth="1"/>
    <col min="6667" max="6667" width="15.28515625" style="29" customWidth="1"/>
    <col min="6668" max="6668" width="9.42578125" style="29" customWidth="1"/>
    <col min="6669" max="6912" width="9.140625" style="29"/>
    <col min="6913" max="6913" width="2" style="29" customWidth="1"/>
    <col min="6914" max="6914" width="60" style="29" customWidth="1"/>
    <col min="6915" max="6915" width="14.28515625" style="29" customWidth="1"/>
    <col min="6916" max="6916" width="15.85546875" style="29" customWidth="1"/>
    <col min="6917" max="6917" width="14.140625" style="29" customWidth="1"/>
    <col min="6918" max="6918" width="13.28515625" style="29" customWidth="1"/>
    <col min="6919" max="6919" width="14.42578125" style="29" customWidth="1"/>
    <col min="6920" max="6920" width="12.42578125" style="29" customWidth="1"/>
    <col min="6921" max="6921" width="14.7109375" style="29" customWidth="1"/>
    <col min="6922" max="6922" width="8.85546875" style="29" customWidth="1"/>
    <col min="6923" max="6923" width="15.28515625" style="29" customWidth="1"/>
    <col min="6924" max="6924" width="9.42578125" style="29" customWidth="1"/>
    <col min="6925" max="7168" width="9.140625" style="29"/>
    <col min="7169" max="7169" width="2" style="29" customWidth="1"/>
    <col min="7170" max="7170" width="60" style="29" customWidth="1"/>
    <col min="7171" max="7171" width="14.28515625" style="29" customWidth="1"/>
    <col min="7172" max="7172" width="15.85546875" style="29" customWidth="1"/>
    <col min="7173" max="7173" width="14.140625" style="29" customWidth="1"/>
    <col min="7174" max="7174" width="13.28515625" style="29" customWidth="1"/>
    <col min="7175" max="7175" width="14.42578125" style="29" customWidth="1"/>
    <col min="7176" max="7176" width="12.42578125" style="29" customWidth="1"/>
    <col min="7177" max="7177" width="14.7109375" style="29" customWidth="1"/>
    <col min="7178" max="7178" width="8.85546875" style="29" customWidth="1"/>
    <col min="7179" max="7179" width="15.28515625" style="29" customWidth="1"/>
    <col min="7180" max="7180" width="9.42578125" style="29" customWidth="1"/>
    <col min="7181" max="7424" width="9.140625" style="29"/>
    <col min="7425" max="7425" width="2" style="29" customWidth="1"/>
    <col min="7426" max="7426" width="60" style="29" customWidth="1"/>
    <col min="7427" max="7427" width="14.28515625" style="29" customWidth="1"/>
    <col min="7428" max="7428" width="15.85546875" style="29" customWidth="1"/>
    <col min="7429" max="7429" width="14.140625" style="29" customWidth="1"/>
    <col min="7430" max="7430" width="13.28515625" style="29" customWidth="1"/>
    <col min="7431" max="7431" width="14.42578125" style="29" customWidth="1"/>
    <col min="7432" max="7432" width="12.42578125" style="29" customWidth="1"/>
    <col min="7433" max="7433" width="14.7109375" style="29" customWidth="1"/>
    <col min="7434" max="7434" width="8.85546875" style="29" customWidth="1"/>
    <col min="7435" max="7435" width="15.28515625" style="29" customWidth="1"/>
    <col min="7436" max="7436" width="9.42578125" style="29" customWidth="1"/>
    <col min="7437" max="7680" width="9.140625" style="29"/>
    <col min="7681" max="7681" width="2" style="29" customWidth="1"/>
    <col min="7682" max="7682" width="60" style="29" customWidth="1"/>
    <col min="7683" max="7683" width="14.28515625" style="29" customWidth="1"/>
    <col min="7684" max="7684" width="15.85546875" style="29" customWidth="1"/>
    <col min="7685" max="7685" width="14.140625" style="29" customWidth="1"/>
    <col min="7686" max="7686" width="13.28515625" style="29" customWidth="1"/>
    <col min="7687" max="7687" width="14.42578125" style="29" customWidth="1"/>
    <col min="7688" max="7688" width="12.42578125" style="29" customWidth="1"/>
    <col min="7689" max="7689" width="14.7109375" style="29" customWidth="1"/>
    <col min="7690" max="7690" width="8.85546875" style="29" customWidth="1"/>
    <col min="7691" max="7691" width="15.28515625" style="29" customWidth="1"/>
    <col min="7692" max="7692" width="9.42578125" style="29" customWidth="1"/>
    <col min="7693" max="7936" width="9.140625" style="29"/>
    <col min="7937" max="7937" width="2" style="29" customWidth="1"/>
    <col min="7938" max="7938" width="60" style="29" customWidth="1"/>
    <col min="7939" max="7939" width="14.28515625" style="29" customWidth="1"/>
    <col min="7940" max="7940" width="15.85546875" style="29" customWidth="1"/>
    <col min="7941" max="7941" width="14.140625" style="29" customWidth="1"/>
    <col min="7942" max="7942" width="13.28515625" style="29" customWidth="1"/>
    <col min="7943" max="7943" width="14.42578125" style="29" customWidth="1"/>
    <col min="7944" max="7944" width="12.42578125" style="29" customWidth="1"/>
    <col min="7945" max="7945" width="14.7109375" style="29" customWidth="1"/>
    <col min="7946" max="7946" width="8.85546875" style="29" customWidth="1"/>
    <col min="7947" max="7947" width="15.28515625" style="29" customWidth="1"/>
    <col min="7948" max="7948" width="9.42578125" style="29" customWidth="1"/>
    <col min="7949" max="8192" width="9.140625" style="29"/>
    <col min="8193" max="8193" width="2" style="29" customWidth="1"/>
    <col min="8194" max="8194" width="60" style="29" customWidth="1"/>
    <col min="8195" max="8195" width="14.28515625" style="29" customWidth="1"/>
    <col min="8196" max="8196" width="15.85546875" style="29" customWidth="1"/>
    <col min="8197" max="8197" width="14.140625" style="29" customWidth="1"/>
    <col min="8198" max="8198" width="13.28515625" style="29" customWidth="1"/>
    <col min="8199" max="8199" width="14.42578125" style="29" customWidth="1"/>
    <col min="8200" max="8200" width="12.42578125" style="29" customWidth="1"/>
    <col min="8201" max="8201" width="14.7109375" style="29" customWidth="1"/>
    <col min="8202" max="8202" width="8.85546875" style="29" customWidth="1"/>
    <col min="8203" max="8203" width="15.28515625" style="29" customWidth="1"/>
    <col min="8204" max="8204" width="9.42578125" style="29" customWidth="1"/>
    <col min="8205" max="8448" width="9.140625" style="29"/>
    <col min="8449" max="8449" width="2" style="29" customWidth="1"/>
    <col min="8450" max="8450" width="60" style="29" customWidth="1"/>
    <col min="8451" max="8451" width="14.28515625" style="29" customWidth="1"/>
    <col min="8452" max="8452" width="15.85546875" style="29" customWidth="1"/>
    <col min="8453" max="8453" width="14.140625" style="29" customWidth="1"/>
    <col min="8454" max="8454" width="13.28515625" style="29" customWidth="1"/>
    <col min="8455" max="8455" width="14.42578125" style="29" customWidth="1"/>
    <col min="8456" max="8456" width="12.42578125" style="29" customWidth="1"/>
    <col min="8457" max="8457" width="14.7109375" style="29" customWidth="1"/>
    <col min="8458" max="8458" width="8.85546875" style="29" customWidth="1"/>
    <col min="8459" max="8459" width="15.28515625" style="29" customWidth="1"/>
    <col min="8460" max="8460" width="9.42578125" style="29" customWidth="1"/>
    <col min="8461" max="8704" width="9.140625" style="29"/>
    <col min="8705" max="8705" width="2" style="29" customWidth="1"/>
    <col min="8706" max="8706" width="60" style="29" customWidth="1"/>
    <col min="8707" max="8707" width="14.28515625" style="29" customWidth="1"/>
    <col min="8708" max="8708" width="15.85546875" style="29" customWidth="1"/>
    <col min="8709" max="8709" width="14.140625" style="29" customWidth="1"/>
    <col min="8710" max="8710" width="13.28515625" style="29" customWidth="1"/>
    <col min="8711" max="8711" width="14.42578125" style="29" customWidth="1"/>
    <col min="8712" max="8712" width="12.42578125" style="29" customWidth="1"/>
    <col min="8713" max="8713" width="14.7109375" style="29" customWidth="1"/>
    <col min="8714" max="8714" width="8.85546875" style="29" customWidth="1"/>
    <col min="8715" max="8715" width="15.28515625" style="29" customWidth="1"/>
    <col min="8716" max="8716" width="9.42578125" style="29" customWidth="1"/>
    <col min="8717" max="8960" width="9.140625" style="29"/>
    <col min="8961" max="8961" width="2" style="29" customWidth="1"/>
    <col min="8962" max="8962" width="60" style="29" customWidth="1"/>
    <col min="8963" max="8963" width="14.28515625" style="29" customWidth="1"/>
    <col min="8964" max="8964" width="15.85546875" style="29" customWidth="1"/>
    <col min="8965" max="8965" width="14.140625" style="29" customWidth="1"/>
    <col min="8966" max="8966" width="13.28515625" style="29" customWidth="1"/>
    <col min="8967" max="8967" width="14.42578125" style="29" customWidth="1"/>
    <col min="8968" max="8968" width="12.42578125" style="29" customWidth="1"/>
    <col min="8969" max="8969" width="14.7109375" style="29" customWidth="1"/>
    <col min="8970" max="8970" width="8.85546875" style="29" customWidth="1"/>
    <col min="8971" max="8971" width="15.28515625" style="29" customWidth="1"/>
    <col min="8972" max="8972" width="9.42578125" style="29" customWidth="1"/>
    <col min="8973" max="9216" width="9.140625" style="29"/>
    <col min="9217" max="9217" width="2" style="29" customWidth="1"/>
    <col min="9218" max="9218" width="60" style="29" customWidth="1"/>
    <col min="9219" max="9219" width="14.28515625" style="29" customWidth="1"/>
    <col min="9220" max="9220" width="15.85546875" style="29" customWidth="1"/>
    <col min="9221" max="9221" width="14.140625" style="29" customWidth="1"/>
    <col min="9222" max="9222" width="13.28515625" style="29" customWidth="1"/>
    <col min="9223" max="9223" width="14.42578125" style="29" customWidth="1"/>
    <col min="9224" max="9224" width="12.42578125" style="29" customWidth="1"/>
    <col min="9225" max="9225" width="14.7109375" style="29" customWidth="1"/>
    <col min="9226" max="9226" width="8.85546875" style="29" customWidth="1"/>
    <col min="9227" max="9227" width="15.28515625" style="29" customWidth="1"/>
    <col min="9228" max="9228" width="9.42578125" style="29" customWidth="1"/>
    <col min="9229" max="9472" width="9.140625" style="29"/>
    <col min="9473" max="9473" width="2" style="29" customWidth="1"/>
    <col min="9474" max="9474" width="60" style="29" customWidth="1"/>
    <col min="9475" max="9475" width="14.28515625" style="29" customWidth="1"/>
    <col min="9476" max="9476" width="15.85546875" style="29" customWidth="1"/>
    <col min="9477" max="9477" width="14.140625" style="29" customWidth="1"/>
    <col min="9478" max="9478" width="13.28515625" style="29" customWidth="1"/>
    <col min="9479" max="9479" width="14.42578125" style="29" customWidth="1"/>
    <col min="9480" max="9480" width="12.42578125" style="29" customWidth="1"/>
    <col min="9481" max="9481" width="14.7109375" style="29" customWidth="1"/>
    <col min="9482" max="9482" width="8.85546875" style="29" customWidth="1"/>
    <col min="9483" max="9483" width="15.28515625" style="29" customWidth="1"/>
    <col min="9484" max="9484" width="9.42578125" style="29" customWidth="1"/>
    <col min="9485" max="9728" width="9.140625" style="29"/>
    <col min="9729" max="9729" width="2" style="29" customWidth="1"/>
    <col min="9730" max="9730" width="60" style="29" customWidth="1"/>
    <col min="9731" max="9731" width="14.28515625" style="29" customWidth="1"/>
    <col min="9732" max="9732" width="15.85546875" style="29" customWidth="1"/>
    <col min="9733" max="9733" width="14.140625" style="29" customWidth="1"/>
    <col min="9734" max="9734" width="13.28515625" style="29" customWidth="1"/>
    <col min="9735" max="9735" width="14.42578125" style="29" customWidth="1"/>
    <col min="9736" max="9736" width="12.42578125" style="29" customWidth="1"/>
    <col min="9737" max="9737" width="14.7109375" style="29" customWidth="1"/>
    <col min="9738" max="9738" width="8.85546875" style="29" customWidth="1"/>
    <col min="9739" max="9739" width="15.28515625" style="29" customWidth="1"/>
    <col min="9740" max="9740" width="9.42578125" style="29" customWidth="1"/>
    <col min="9741" max="9984" width="9.140625" style="29"/>
    <col min="9985" max="9985" width="2" style="29" customWidth="1"/>
    <col min="9986" max="9986" width="60" style="29" customWidth="1"/>
    <col min="9987" max="9987" width="14.28515625" style="29" customWidth="1"/>
    <col min="9988" max="9988" width="15.85546875" style="29" customWidth="1"/>
    <col min="9989" max="9989" width="14.140625" style="29" customWidth="1"/>
    <col min="9990" max="9990" width="13.28515625" style="29" customWidth="1"/>
    <col min="9991" max="9991" width="14.42578125" style="29" customWidth="1"/>
    <col min="9992" max="9992" width="12.42578125" style="29" customWidth="1"/>
    <col min="9993" max="9993" width="14.7109375" style="29" customWidth="1"/>
    <col min="9994" max="9994" width="8.85546875" style="29" customWidth="1"/>
    <col min="9995" max="9995" width="15.28515625" style="29" customWidth="1"/>
    <col min="9996" max="9996" width="9.42578125" style="29" customWidth="1"/>
    <col min="9997" max="10240" width="9.140625" style="29"/>
    <col min="10241" max="10241" width="2" style="29" customWidth="1"/>
    <col min="10242" max="10242" width="60" style="29" customWidth="1"/>
    <col min="10243" max="10243" width="14.28515625" style="29" customWidth="1"/>
    <col min="10244" max="10244" width="15.85546875" style="29" customWidth="1"/>
    <col min="10245" max="10245" width="14.140625" style="29" customWidth="1"/>
    <col min="10246" max="10246" width="13.28515625" style="29" customWidth="1"/>
    <col min="10247" max="10247" width="14.42578125" style="29" customWidth="1"/>
    <col min="10248" max="10248" width="12.42578125" style="29" customWidth="1"/>
    <col min="10249" max="10249" width="14.7109375" style="29" customWidth="1"/>
    <col min="10250" max="10250" width="8.85546875" style="29" customWidth="1"/>
    <col min="10251" max="10251" width="15.28515625" style="29" customWidth="1"/>
    <col min="10252" max="10252" width="9.42578125" style="29" customWidth="1"/>
    <col min="10253" max="10496" width="9.140625" style="29"/>
    <col min="10497" max="10497" width="2" style="29" customWidth="1"/>
    <col min="10498" max="10498" width="60" style="29" customWidth="1"/>
    <col min="10499" max="10499" width="14.28515625" style="29" customWidth="1"/>
    <col min="10500" max="10500" width="15.85546875" style="29" customWidth="1"/>
    <col min="10501" max="10501" width="14.140625" style="29" customWidth="1"/>
    <col min="10502" max="10502" width="13.28515625" style="29" customWidth="1"/>
    <col min="10503" max="10503" width="14.42578125" style="29" customWidth="1"/>
    <col min="10504" max="10504" width="12.42578125" style="29" customWidth="1"/>
    <col min="10505" max="10505" width="14.7109375" style="29" customWidth="1"/>
    <col min="10506" max="10506" width="8.85546875" style="29" customWidth="1"/>
    <col min="10507" max="10507" width="15.28515625" style="29" customWidth="1"/>
    <col min="10508" max="10508" width="9.42578125" style="29" customWidth="1"/>
    <col min="10509" max="10752" width="9.140625" style="29"/>
    <col min="10753" max="10753" width="2" style="29" customWidth="1"/>
    <col min="10754" max="10754" width="60" style="29" customWidth="1"/>
    <col min="10755" max="10755" width="14.28515625" style="29" customWidth="1"/>
    <col min="10756" max="10756" width="15.85546875" style="29" customWidth="1"/>
    <col min="10757" max="10757" width="14.140625" style="29" customWidth="1"/>
    <col min="10758" max="10758" width="13.28515625" style="29" customWidth="1"/>
    <col min="10759" max="10759" width="14.42578125" style="29" customWidth="1"/>
    <col min="10760" max="10760" width="12.42578125" style="29" customWidth="1"/>
    <col min="10761" max="10761" width="14.7109375" style="29" customWidth="1"/>
    <col min="10762" max="10762" width="8.85546875" style="29" customWidth="1"/>
    <col min="10763" max="10763" width="15.28515625" style="29" customWidth="1"/>
    <col min="10764" max="10764" width="9.42578125" style="29" customWidth="1"/>
    <col min="10765" max="11008" width="9.140625" style="29"/>
    <col min="11009" max="11009" width="2" style="29" customWidth="1"/>
    <col min="11010" max="11010" width="60" style="29" customWidth="1"/>
    <col min="11011" max="11011" width="14.28515625" style="29" customWidth="1"/>
    <col min="11012" max="11012" width="15.85546875" style="29" customWidth="1"/>
    <col min="11013" max="11013" width="14.140625" style="29" customWidth="1"/>
    <col min="11014" max="11014" width="13.28515625" style="29" customWidth="1"/>
    <col min="11015" max="11015" width="14.42578125" style="29" customWidth="1"/>
    <col min="11016" max="11016" width="12.42578125" style="29" customWidth="1"/>
    <col min="11017" max="11017" width="14.7109375" style="29" customWidth="1"/>
    <col min="11018" max="11018" width="8.85546875" style="29" customWidth="1"/>
    <col min="11019" max="11019" width="15.28515625" style="29" customWidth="1"/>
    <col min="11020" max="11020" width="9.42578125" style="29" customWidth="1"/>
    <col min="11021" max="11264" width="9.140625" style="29"/>
    <col min="11265" max="11265" width="2" style="29" customWidth="1"/>
    <col min="11266" max="11266" width="60" style="29" customWidth="1"/>
    <col min="11267" max="11267" width="14.28515625" style="29" customWidth="1"/>
    <col min="11268" max="11268" width="15.85546875" style="29" customWidth="1"/>
    <col min="11269" max="11269" width="14.140625" style="29" customWidth="1"/>
    <col min="11270" max="11270" width="13.28515625" style="29" customWidth="1"/>
    <col min="11271" max="11271" width="14.42578125" style="29" customWidth="1"/>
    <col min="11272" max="11272" width="12.42578125" style="29" customWidth="1"/>
    <col min="11273" max="11273" width="14.7109375" style="29" customWidth="1"/>
    <col min="11274" max="11274" width="8.85546875" style="29" customWidth="1"/>
    <col min="11275" max="11275" width="15.28515625" style="29" customWidth="1"/>
    <col min="11276" max="11276" width="9.42578125" style="29" customWidth="1"/>
    <col min="11277" max="11520" width="9.140625" style="29"/>
    <col min="11521" max="11521" width="2" style="29" customWidth="1"/>
    <col min="11522" max="11522" width="60" style="29" customWidth="1"/>
    <col min="11523" max="11523" width="14.28515625" style="29" customWidth="1"/>
    <col min="11524" max="11524" width="15.85546875" style="29" customWidth="1"/>
    <col min="11525" max="11525" width="14.140625" style="29" customWidth="1"/>
    <col min="11526" max="11526" width="13.28515625" style="29" customWidth="1"/>
    <col min="11527" max="11527" width="14.42578125" style="29" customWidth="1"/>
    <col min="11528" max="11528" width="12.42578125" style="29" customWidth="1"/>
    <col min="11529" max="11529" width="14.7109375" style="29" customWidth="1"/>
    <col min="11530" max="11530" width="8.85546875" style="29" customWidth="1"/>
    <col min="11531" max="11531" width="15.28515625" style="29" customWidth="1"/>
    <col min="11532" max="11532" width="9.42578125" style="29" customWidth="1"/>
    <col min="11533" max="11776" width="9.140625" style="29"/>
    <col min="11777" max="11777" width="2" style="29" customWidth="1"/>
    <col min="11778" max="11778" width="60" style="29" customWidth="1"/>
    <col min="11779" max="11779" width="14.28515625" style="29" customWidth="1"/>
    <col min="11780" max="11780" width="15.85546875" style="29" customWidth="1"/>
    <col min="11781" max="11781" width="14.140625" style="29" customWidth="1"/>
    <col min="11782" max="11782" width="13.28515625" style="29" customWidth="1"/>
    <col min="11783" max="11783" width="14.42578125" style="29" customWidth="1"/>
    <col min="11784" max="11784" width="12.42578125" style="29" customWidth="1"/>
    <col min="11785" max="11785" width="14.7109375" style="29" customWidth="1"/>
    <col min="11786" max="11786" width="8.85546875" style="29" customWidth="1"/>
    <col min="11787" max="11787" width="15.28515625" style="29" customWidth="1"/>
    <col min="11788" max="11788" width="9.42578125" style="29" customWidth="1"/>
    <col min="11789" max="12032" width="9.140625" style="29"/>
    <col min="12033" max="12033" width="2" style="29" customWidth="1"/>
    <col min="12034" max="12034" width="60" style="29" customWidth="1"/>
    <col min="12035" max="12035" width="14.28515625" style="29" customWidth="1"/>
    <col min="12036" max="12036" width="15.85546875" style="29" customWidth="1"/>
    <col min="12037" max="12037" width="14.140625" style="29" customWidth="1"/>
    <col min="12038" max="12038" width="13.28515625" style="29" customWidth="1"/>
    <col min="12039" max="12039" width="14.42578125" style="29" customWidth="1"/>
    <col min="12040" max="12040" width="12.42578125" style="29" customWidth="1"/>
    <col min="12041" max="12041" width="14.7109375" style="29" customWidth="1"/>
    <col min="12042" max="12042" width="8.85546875" style="29" customWidth="1"/>
    <col min="12043" max="12043" width="15.28515625" style="29" customWidth="1"/>
    <col min="12044" max="12044" width="9.42578125" style="29" customWidth="1"/>
    <col min="12045" max="12288" width="9.140625" style="29"/>
    <col min="12289" max="12289" width="2" style="29" customWidth="1"/>
    <col min="12290" max="12290" width="60" style="29" customWidth="1"/>
    <col min="12291" max="12291" width="14.28515625" style="29" customWidth="1"/>
    <col min="12292" max="12292" width="15.85546875" style="29" customWidth="1"/>
    <col min="12293" max="12293" width="14.140625" style="29" customWidth="1"/>
    <col min="12294" max="12294" width="13.28515625" style="29" customWidth="1"/>
    <col min="12295" max="12295" width="14.42578125" style="29" customWidth="1"/>
    <col min="12296" max="12296" width="12.42578125" style="29" customWidth="1"/>
    <col min="12297" max="12297" width="14.7109375" style="29" customWidth="1"/>
    <col min="12298" max="12298" width="8.85546875" style="29" customWidth="1"/>
    <col min="12299" max="12299" width="15.28515625" style="29" customWidth="1"/>
    <col min="12300" max="12300" width="9.42578125" style="29" customWidth="1"/>
    <col min="12301" max="12544" width="9.140625" style="29"/>
    <col min="12545" max="12545" width="2" style="29" customWidth="1"/>
    <col min="12546" max="12546" width="60" style="29" customWidth="1"/>
    <col min="12547" max="12547" width="14.28515625" style="29" customWidth="1"/>
    <col min="12548" max="12548" width="15.85546875" style="29" customWidth="1"/>
    <col min="12549" max="12549" width="14.140625" style="29" customWidth="1"/>
    <col min="12550" max="12550" width="13.28515625" style="29" customWidth="1"/>
    <col min="12551" max="12551" width="14.42578125" style="29" customWidth="1"/>
    <col min="12552" max="12552" width="12.42578125" style="29" customWidth="1"/>
    <col min="12553" max="12553" width="14.7109375" style="29" customWidth="1"/>
    <col min="12554" max="12554" width="8.85546875" style="29" customWidth="1"/>
    <col min="12555" max="12555" width="15.28515625" style="29" customWidth="1"/>
    <col min="12556" max="12556" width="9.42578125" style="29" customWidth="1"/>
    <col min="12557" max="12800" width="9.140625" style="29"/>
    <col min="12801" max="12801" width="2" style="29" customWidth="1"/>
    <col min="12802" max="12802" width="60" style="29" customWidth="1"/>
    <col min="12803" max="12803" width="14.28515625" style="29" customWidth="1"/>
    <col min="12804" max="12804" width="15.85546875" style="29" customWidth="1"/>
    <col min="12805" max="12805" width="14.140625" style="29" customWidth="1"/>
    <col min="12806" max="12806" width="13.28515625" style="29" customWidth="1"/>
    <col min="12807" max="12807" width="14.42578125" style="29" customWidth="1"/>
    <col min="12808" max="12808" width="12.42578125" style="29" customWidth="1"/>
    <col min="12809" max="12809" width="14.7109375" style="29" customWidth="1"/>
    <col min="12810" max="12810" width="8.85546875" style="29" customWidth="1"/>
    <col min="12811" max="12811" width="15.28515625" style="29" customWidth="1"/>
    <col min="12812" max="12812" width="9.42578125" style="29" customWidth="1"/>
    <col min="12813" max="13056" width="9.140625" style="29"/>
    <col min="13057" max="13057" width="2" style="29" customWidth="1"/>
    <col min="13058" max="13058" width="60" style="29" customWidth="1"/>
    <col min="13059" max="13059" width="14.28515625" style="29" customWidth="1"/>
    <col min="13060" max="13060" width="15.85546875" style="29" customWidth="1"/>
    <col min="13061" max="13061" width="14.140625" style="29" customWidth="1"/>
    <col min="13062" max="13062" width="13.28515625" style="29" customWidth="1"/>
    <col min="13063" max="13063" width="14.42578125" style="29" customWidth="1"/>
    <col min="13064" max="13064" width="12.42578125" style="29" customWidth="1"/>
    <col min="13065" max="13065" width="14.7109375" style="29" customWidth="1"/>
    <col min="13066" max="13066" width="8.85546875" style="29" customWidth="1"/>
    <col min="13067" max="13067" width="15.28515625" style="29" customWidth="1"/>
    <col min="13068" max="13068" width="9.42578125" style="29" customWidth="1"/>
    <col min="13069" max="13312" width="9.140625" style="29"/>
    <col min="13313" max="13313" width="2" style="29" customWidth="1"/>
    <col min="13314" max="13314" width="60" style="29" customWidth="1"/>
    <col min="13315" max="13315" width="14.28515625" style="29" customWidth="1"/>
    <col min="13316" max="13316" width="15.85546875" style="29" customWidth="1"/>
    <col min="13317" max="13317" width="14.140625" style="29" customWidth="1"/>
    <col min="13318" max="13318" width="13.28515625" style="29" customWidth="1"/>
    <col min="13319" max="13319" width="14.42578125" style="29" customWidth="1"/>
    <col min="13320" max="13320" width="12.42578125" style="29" customWidth="1"/>
    <col min="13321" max="13321" width="14.7109375" style="29" customWidth="1"/>
    <col min="13322" max="13322" width="8.85546875" style="29" customWidth="1"/>
    <col min="13323" max="13323" width="15.28515625" style="29" customWidth="1"/>
    <col min="13324" max="13324" width="9.42578125" style="29" customWidth="1"/>
    <col min="13325" max="13568" width="9.140625" style="29"/>
    <col min="13569" max="13569" width="2" style="29" customWidth="1"/>
    <col min="13570" max="13570" width="60" style="29" customWidth="1"/>
    <col min="13571" max="13571" width="14.28515625" style="29" customWidth="1"/>
    <col min="13572" max="13572" width="15.85546875" style="29" customWidth="1"/>
    <col min="13573" max="13573" width="14.140625" style="29" customWidth="1"/>
    <col min="13574" max="13574" width="13.28515625" style="29" customWidth="1"/>
    <col min="13575" max="13575" width="14.42578125" style="29" customWidth="1"/>
    <col min="13576" max="13576" width="12.42578125" style="29" customWidth="1"/>
    <col min="13577" max="13577" width="14.7109375" style="29" customWidth="1"/>
    <col min="13578" max="13578" width="8.85546875" style="29" customWidth="1"/>
    <col min="13579" max="13579" width="15.28515625" style="29" customWidth="1"/>
    <col min="13580" max="13580" width="9.42578125" style="29" customWidth="1"/>
    <col min="13581" max="13824" width="9.140625" style="29"/>
    <col min="13825" max="13825" width="2" style="29" customWidth="1"/>
    <col min="13826" max="13826" width="60" style="29" customWidth="1"/>
    <col min="13827" max="13827" width="14.28515625" style="29" customWidth="1"/>
    <col min="13828" max="13828" width="15.85546875" style="29" customWidth="1"/>
    <col min="13829" max="13829" width="14.140625" style="29" customWidth="1"/>
    <col min="13830" max="13830" width="13.28515625" style="29" customWidth="1"/>
    <col min="13831" max="13831" width="14.42578125" style="29" customWidth="1"/>
    <col min="13832" max="13832" width="12.42578125" style="29" customWidth="1"/>
    <col min="13833" max="13833" width="14.7109375" style="29" customWidth="1"/>
    <col min="13834" max="13834" width="8.85546875" style="29" customWidth="1"/>
    <col min="13835" max="13835" width="15.28515625" style="29" customWidth="1"/>
    <col min="13836" max="13836" width="9.42578125" style="29" customWidth="1"/>
    <col min="13837" max="14080" width="9.140625" style="29"/>
    <col min="14081" max="14081" width="2" style="29" customWidth="1"/>
    <col min="14082" max="14082" width="60" style="29" customWidth="1"/>
    <col min="14083" max="14083" width="14.28515625" style="29" customWidth="1"/>
    <col min="14084" max="14084" width="15.85546875" style="29" customWidth="1"/>
    <col min="14085" max="14085" width="14.140625" style="29" customWidth="1"/>
    <col min="14086" max="14086" width="13.28515625" style="29" customWidth="1"/>
    <col min="14087" max="14087" width="14.42578125" style="29" customWidth="1"/>
    <col min="14088" max="14088" width="12.42578125" style="29" customWidth="1"/>
    <col min="14089" max="14089" width="14.7109375" style="29" customWidth="1"/>
    <col min="14090" max="14090" width="8.85546875" style="29" customWidth="1"/>
    <col min="14091" max="14091" width="15.28515625" style="29" customWidth="1"/>
    <col min="14092" max="14092" width="9.42578125" style="29" customWidth="1"/>
    <col min="14093" max="14336" width="9.140625" style="29"/>
    <col min="14337" max="14337" width="2" style="29" customWidth="1"/>
    <col min="14338" max="14338" width="60" style="29" customWidth="1"/>
    <col min="14339" max="14339" width="14.28515625" style="29" customWidth="1"/>
    <col min="14340" max="14340" width="15.85546875" style="29" customWidth="1"/>
    <col min="14341" max="14341" width="14.140625" style="29" customWidth="1"/>
    <col min="14342" max="14342" width="13.28515625" style="29" customWidth="1"/>
    <col min="14343" max="14343" width="14.42578125" style="29" customWidth="1"/>
    <col min="14344" max="14344" width="12.42578125" style="29" customWidth="1"/>
    <col min="14345" max="14345" width="14.7109375" style="29" customWidth="1"/>
    <col min="14346" max="14346" width="8.85546875" style="29" customWidth="1"/>
    <col min="14347" max="14347" width="15.28515625" style="29" customWidth="1"/>
    <col min="14348" max="14348" width="9.42578125" style="29" customWidth="1"/>
    <col min="14349" max="14592" width="9.140625" style="29"/>
    <col min="14593" max="14593" width="2" style="29" customWidth="1"/>
    <col min="14594" max="14594" width="60" style="29" customWidth="1"/>
    <col min="14595" max="14595" width="14.28515625" style="29" customWidth="1"/>
    <col min="14596" max="14596" width="15.85546875" style="29" customWidth="1"/>
    <col min="14597" max="14597" width="14.140625" style="29" customWidth="1"/>
    <col min="14598" max="14598" width="13.28515625" style="29" customWidth="1"/>
    <col min="14599" max="14599" width="14.42578125" style="29" customWidth="1"/>
    <col min="14600" max="14600" width="12.42578125" style="29" customWidth="1"/>
    <col min="14601" max="14601" width="14.7109375" style="29" customWidth="1"/>
    <col min="14602" max="14602" width="8.85546875" style="29" customWidth="1"/>
    <col min="14603" max="14603" width="15.28515625" style="29" customWidth="1"/>
    <col min="14604" max="14604" width="9.42578125" style="29" customWidth="1"/>
    <col min="14605" max="14848" width="9.140625" style="29"/>
    <col min="14849" max="14849" width="2" style="29" customWidth="1"/>
    <col min="14850" max="14850" width="60" style="29" customWidth="1"/>
    <col min="14851" max="14851" width="14.28515625" style="29" customWidth="1"/>
    <col min="14852" max="14852" width="15.85546875" style="29" customWidth="1"/>
    <col min="14853" max="14853" width="14.140625" style="29" customWidth="1"/>
    <col min="14854" max="14854" width="13.28515625" style="29" customWidth="1"/>
    <col min="14855" max="14855" width="14.42578125" style="29" customWidth="1"/>
    <col min="14856" max="14856" width="12.42578125" style="29" customWidth="1"/>
    <col min="14857" max="14857" width="14.7109375" style="29" customWidth="1"/>
    <col min="14858" max="14858" width="8.85546875" style="29" customWidth="1"/>
    <col min="14859" max="14859" width="15.28515625" style="29" customWidth="1"/>
    <col min="14860" max="14860" width="9.42578125" style="29" customWidth="1"/>
    <col min="14861" max="15104" width="9.140625" style="29"/>
    <col min="15105" max="15105" width="2" style="29" customWidth="1"/>
    <col min="15106" max="15106" width="60" style="29" customWidth="1"/>
    <col min="15107" max="15107" width="14.28515625" style="29" customWidth="1"/>
    <col min="15108" max="15108" width="15.85546875" style="29" customWidth="1"/>
    <col min="15109" max="15109" width="14.140625" style="29" customWidth="1"/>
    <col min="15110" max="15110" width="13.28515625" style="29" customWidth="1"/>
    <col min="15111" max="15111" width="14.42578125" style="29" customWidth="1"/>
    <col min="15112" max="15112" width="12.42578125" style="29" customWidth="1"/>
    <col min="15113" max="15113" width="14.7109375" style="29" customWidth="1"/>
    <col min="15114" max="15114" width="8.85546875" style="29" customWidth="1"/>
    <col min="15115" max="15115" width="15.28515625" style="29" customWidth="1"/>
    <col min="15116" max="15116" width="9.42578125" style="29" customWidth="1"/>
    <col min="15117" max="15360" width="9.140625" style="29"/>
    <col min="15361" max="15361" width="2" style="29" customWidth="1"/>
    <col min="15362" max="15362" width="60" style="29" customWidth="1"/>
    <col min="15363" max="15363" width="14.28515625" style="29" customWidth="1"/>
    <col min="15364" max="15364" width="15.85546875" style="29" customWidth="1"/>
    <col min="15365" max="15365" width="14.140625" style="29" customWidth="1"/>
    <col min="15366" max="15366" width="13.28515625" style="29" customWidth="1"/>
    <col min="15367" max="15367" width="14.42578125" style="29" customWidth="1"/>
    <col min="15368" max="15368" width="12.42578125" style="29" customWidth="1"/>
    <col min="15369" max="15369" width="14.7109375" style="29" customWidth="1"/>
    <col min="15370" max="15370" width="8.85546875" style="29" customWidth="1"/>
    <col min="15371" max="15371" width="15.28515625" style="29" customWidth="1"/>
    <col min="15372" max="15372" width="9.42578125" style="29" customWidth="1"/>
    <col min="15373" max="15616" width="9.140625" style="29"/>
    <col min="15617" max="15617" width="2" style="29" customWidth="1"/>
    <col min="15618" max="15618" width="60" style="29" customWidth="1"/>
    <col min="15619" max="15619" width="14.28515625" style="29" customWidth="1"/>
    <col min="15620" max="15620" width="15.85546875" style="29" customWidth="1"/>
    <col min="15621" max="15621" width="14.140625" style="29" customWidth="1"/>
    <col min="15622" max="15622" width="13.28515625" style="29" customWidth="1"/>
    <col min="15623" max="15623" width="14.42578125" style="29" customWidth="1"/>
    <col min="15624" max="15624" width="12.42578125" style="29" customWidth="1"/>
    <col min="15625" max="15625" width="14.7109375" style="29" customWidth="1"/>
    <col min="15626" max="15626" width="8.85546875" style="29" customWidth="1"/>
    <col min="15627" max="15627" width="15.28515625" style="29" customWidth="1"/>
    <col min="15628" max="15628" width="9.42578125" style="29" customWidth="1"/>
    <col min="15629" max="15872" width="9.140625" style="29"/>
    <col min="15873" max="15873" width="2" style="29" customWidth="1"/>
    <col min="15874" max="15874" width="60" style="29" customWidth="1"/>
    <col min="15875" max="15875" width="14.28515625" style="29" customWidth="1"/>
    <col min="15876" max="15876" width="15.85546875" style="29" customWidth="1"/>
    <col min="15877" max="15877" width="14.140625" style="29" customWidth="1"/>
    <col min="15878" max="15878" width="13.28515625" style="29" customWidth="1"/>
    <col min="15879" max="15879" width="14.42578125" style="29" customWidth="1"/>
    <col min="15880" max="15880" width="12.42578125" style="29" customWidth="1"/>
    <col min="15881" max="15881" width="14.7109375" style="29" customWidth="1"/>
    <col min="15882" max="15882" width="8.85546875" style="29" customWidth="1"/>
    <col min="15883" max="15883" width="15.28515625" style="29" customWidth="1"/>
    <col min="15884" max="15884" width="9.42578125" style="29" customWidth="1"/>
    <col min="15885" max="16128" width="9.140625" style="29"/>
    <col min="16129" max="16129" width="2" style="29" customWidth="1"/>
    <col min="16130" max="16130" width="60" style="29" customWidth="1"/>
    <col min="16131" max="16131" width="14.28515625" style="29" customWidth="1"/>
    <col min="16132" max="16132" width="15.85546875" style="29" customWidth="1"/>
    <col min="16133" max="16133" width="14.140625" style="29" customWidth="1"/>
    <col min="16134" max="16134" width="13.28515625" style="29" customWidth="1"/>
    <col min="16135" max="16135" width="14.42578125" style="29" customWidth="1"/>
    <col min="16136" max="16136" width="12.42578125" style="29" customWidth="1"/>
    <col min="16137" max="16137" width="14.7109375" style="29" customWidth="1"/>
    <col min="16138" max="16138" width="8.85546875" style="29" customWidth="1"/>
    <col min="16139" max="16139" width="15.28515625" style="29" customWidth="1"/>
    <col min="16140" max="16140" width="9.42578125" style="29" customWidth="1"/>
    <col min="16141" max="16384" width="9.140625" style="29"/>
  </cols>
  <sheetData>
    <row r="1" spans="1:11" ht="15.75" x14ac:dyDescent="0.25">
      <c r="B1" s="754" t="s">
        <v>381</v>
      </c>
      <c r="C1" s="755"/>
      <c r="D1" s="755"/>
      <c r="E1" s="755"/>
      <c r="F1" s="755"/>
      <c r="G1" s="755"/>
      <c r="H1" s="755"/>
      <c r="I1" s="755"/>
      <c r="J1" s="755"/>
      <c r="K1" s="755"/>
    </row>
    <row r="2" spans="1:11" ht="15" x14ac:dyDescent="0.2">
      <c r="B2" s="30" t="s">
        <v>42</v>
      </c>
      <c r="C2" s="324"/>
      <c r="D2" s="324"/>
      <c r="E2" s="324"/>
      <c r="F2" s="324"/>
      <c r="G2" s="324"/>
      <c r="H2" s="324"/>
      <c r="I2" s="324"/>
      <c r="J2" s="324"/>
      <c r="K2" s="324"/>
    </row>
    <row r="3" spans="1:11" ht="15" x14ac:dyDescent="0.25">
      <c r="B3" s="32"/>
      <c r="K3" s="33"/>
    </row>
    <row r="4" spans="1:11" x14ac:dyDescent="0.2">
      <c r="B4" s="325"/>
      <c r="C4" s="326" t="s">
        <v>43</v>
      </c>
      <c r="D4" s="327"/>
      <c r="E4" s="36"/>
      <c r="F4" s="36" t="s">
        <v>44</v>
      </c>
      <c r="G4" s="36"/>
      <c r="H4" s="36"/>
      <c r="I4" s="37"/>
      <c r="J4" s="39" t="s">
        <v>45</v>
      </c>
      <c r="K4" s="40"/>
    </row>
    <row r="5" spans="1:11" ht="12.75" customHeight="1" x14ac:dyDescent="0.2">
      <c r="B5" s="328"/>
      <c r="C5" s="328" t="s">
        <v>46</v>
      </c>
      <c r="D5" s="756" t="s">
        <v>265</v>
      </c>
      <c r="E5" s="688" t="s">
        <v>48</v>
      </c>
      <c r="F5" s="689"/>
      <c r="G5" s="41" t="s">
        <v>49</v>
      </c>
      <c r="H5" s="42" t="s">
        <v>50</v>
      </c>
      <c r="I5" s="690" t="s">
        <v>51</v>
      </c>
      <c r="J5" s="45" t="s">
        <v>52</v>
      </c>
      <c r="K5" s="329" t="s">
        <v>53</v>
      </c>
    </row>
    <row r="6" spans="1:11" ht="12.75" customHeight="1" x14ac:dyDescent="0.2">
      <c r="B6" s="328"/>
      <c r="C6" s="328"/>
      <c r="D6" s="686"/>
      <c r="E6" s="693" t="s">
        <v>54</v>
      </c>
      <c r="F6" s="693" t="s">
        <v>55</v>
      </c>
      <c r="G6" s="47"/>
      <c r="H6" s="48">
        <v>1.4999999999999999E-2</v>
      </c>
      <c r="I6" s="691"/>
      <c r="J6" s="45"/>
      <c r="K6" s="46"/>
    </row>
    <row r="7" spans="1:11" x14ac:dyDescent="0.2">
      <c r="B7" s="328"/>
      <c r="C7" s="328"/>
      <c r="D7" s="687"/>
      <c r="E7" s="694"/>
      <c r="F7" s="694"/>
      <c r="G7" s="47"/>
      <c r="H7" s="47"/>
      <c r="I7" s="692"/>
      <c r="J7" s="45"/>
      <c r="K7" s="46"/>
    </row>
    <row r="8" spans="1:11" ht="15" thickBot="1" x14ac:dyDescent="0.25">
      <c r="B8" s="330"/>
      <c r="C8" s="52" t="s">
        <v>56</v>
      </c>
      <c r="D8" s="52" t="s">
        <v>57</v>
      </c>
      <c r="E8" s="53" t="s">
        <v>58</v>
      </c>
      <c r="F8" s="53" t="s">
        <v>59</v>
      </c>
      <c r="G8" s="53" t="s">
        <v>60</v>
      </c>
      <c r="H8" s="53" t="s">
        <v>61</v>
      </c>
      <c r="I8" s="53" t="s">
        <v>62</v>
      </c>
      <c r="J8" s="331" t="s">
        <v>63</v>
      </c>
      <c r="K8" s="54"/>
    </row>
    <row r="9" spans="1:11" x14ac:dyDescent="0.2">
      <c r="A9" s="55"/>
      <c r="B9" s="332" t="s">
        <v>64</v>
      </c>
      <c r="C9" s="57"/>
      <c r="D9" s="58"/>
      <c r="E9" s="58"/>
      <c r="F9" s="58"/>
      <c r="G9" s="59"/>
      <c r="H9" s="60"/>
      <c r="I9" s="58"/>
      <c r="J9" s="333"/>
      <c r="K9" s="46"/>
    </row>
    <row r="10" spans="1:11" ht="14.25" x14ac:dyDescent="0.2">
      <c r="A10" s="55"/>
      <c r="B10" s="334" t="s">
        <v>65</v>
      </c>
      <c r="C10" s="63">
        <f>SUM(D10+G10+H10+I10)</f>
        <v>23078527</v>
      </c>
      <c r="D10" s="64">
        <f t="shared" ref="D10:D17" si="0">SUM(E10+F10)</f>
        <v>11576005</v>
      </c>
      <c r="E10" s="64">
        <v>10820005</v>
      </c>
      <c r="F10" s="64">
        <v>756000</v>
      </c>
      <c r="G10" s="335">
        <f>ROUND((E10*0.34+F10*0.34),0)</f>
        <v>3935842</v>
      </c>
      <c r="H10" s="65">
        <f>ROUND((E10*0.015),0)</f>
        <v>162300</v>
      </c>
      <c r="I10" s="64">
        <v>7404380</v>
      </c>
      <c r="J10" s="66">
        <v>36.9</v>
      </c>
      <c r="K10" s="46"/>
    </row>
    <row r="11" spans="1:11" ht="14.25" x14ac:dyDescent="0.2">
      <c r="A11" s="55"/>
      <c r="B11" s="334" t="s">
        <v>66</v>
      </c>
      <c r="C11" s="63">
        <f t="shared" ref="C11:C17" si="1">SUM(D11+G11+H11+I11)</f>
        <v>60317124</v>
      </c>
      <c r="D11" s="64">
        <f t="shared" si="0"/>
        <v>36531346</v>
      </c>
      <c r="E11" s="64">
        <v>33161346</v>
      </c>
      <c r="F11" s="67">
        <v>3370000</v>
      </c>
      <c r="G11" s="335">
        <f t="shared" ref="G11:G17" si="2">ROUND((E11*0.34+F11*0.34),0)</f>
        <v>12420658</v>
      </c>
      <c r="H11" s="65">
        <f t="shared" ref="H11:H17" si="3">ROUND((E11*0.015),0)</f>
        <v>497420</v>
      </c>
      <c r="I11" s="64">
        <f>10867700</f>
        <v>10867700</v>
      </c>
      <c r="J11" s="66">
        <v>103.8</v>
      </c>
      <c r="K11" s="46"/>
    </row>
    <row r="12" spans="1:11" ht="14.25" x14ac:dyDescent="0.2">
      <c r="A12" s="55"/>
      <c r="B12" s="334" t="s">
        <v>67</v>
      </c>
      <c r="C12" s="63">
        <f t="shared" si="1"/>
        <v>30630505</v>
      </c>
      <c r="D12" s="64">
        <f t="shared" si="0"/>
        <v>16301987</v>
      </c>
      <c r="E12" s="64">
        <v>14829987</v>
      </c>
      <c r="F12" s="64">
        <v>1472000</v>
      </c>
      <c r="G12" s="65">
        <f>ROUND((E12*0.34+F12*0.34)-60941,0)</f>
        <v>5481735</v>
      </c>
      <c r="H12" s="65">
        <f t="shared" si="3"/>
        <v>222450</v>
      </c>
      <c r="I12" s="64">
        <v>8624333</v>
      </c>
      <c r="J12" s="66">
        <v>44.24</v>
      </c>
      <c r="K12" s="46"/>
    </row>
    <row r="13" spans="1:11" ht="14.25" x14ac:dyDescent="0.2">
      <c r="A13" s="55"/>
      <c r="B13" s="334" t="s">
        <v>68</v>
      </c>
      <c r="C13" s="63">
        <f t="shared" si="1"/>
        <v>106935282</v>
      </c>
      <c r="D13" s="64">
        <f t="shared" si="0"/>
        <v>40077034</v>
      </c>
      <c r="E13" s="64">
        <v>39737034</v>
      </c>
      <c r="F13" s="64">
        <v>340000</v>
      </c>
      <c r="G13" s="65">
        <f t="shared" si="2"/>
        <v>13626192</v>
      </c>
      <c r="H13" s="65">
        <f t="shared" si="3"/>
        <v>596056</v>
      </c>
      <c r="I13" s="64">
        <v>52636000</v>
      </c>
      <c r="J13" s="66">
        <v>145.38999999999999</v>
      </c>
      <c r="K13" s="46"/>
    </row>
    <row r="14" spans="1:11" ht="14.25" x14ac:dyDescent="0.2">
      <c r="A14" s="55"/>
      <c r="B14" s="334" t="s">
        <v>69</v>
      </c>
      <c r="C14" s="63">
        <f t="shared" si="1"/>
        <v>6646000</v>
      </c>
      <c r="D14" s="64">
        <f t="shared" si="0"/>
        <v>0</v>
      </c>
      <c r="E14" s="64"/>
      <c r="F14" s="64"/>
      <c r="G14" s="65"/>
      <c r="H14" s="65">
        <f t="shared" si="3"/>
        <v>0</v>
      </c>
      <c r="I14" s="64">
        <v>6646000</v>
      </c>
      <c r="J14" s="66"/>
      <c r="K14" s="46"/>
    </row>
    <row r="15" spans="1:11" ht="14.25" x14ac:dyDescent="0.2">
      <c r="A15" s="55"/>
      <c r="B15" s="336" t="s">
        <v>70</v>
      </c>
      <c r="C15" s="63">
        <f t="shared" si="1"/>
        <v>70283479</v>
      </c>
      <c r="D15" s="67">
        <f t="shared" si="0"/>
        <v>45922273</v>
      </c>
      <c r="E15" s="64">
        <v>32738273</v>
      </c>
      <c r="F15" s="67">
        <v>13184000</v>
      </c>
      <c r="G15" s="65">
        <f>ROUND((E15*0.34+F15*0.34)-2997390,0)</f>
        <v>12616183</v>
      </c>
      <c r="H15" s="65">
        <f t="shared" si="3"/>
        <v>491074</v>
      </c>
      <c r="I15" s="67">
        <v>11253949</v>
      </c>
      <c r="J15" s="69">
        <v>103.18</v>
      </c>
      <c r="K15" s="70"/>
    </row>
    <row r="16" spans="1:11" ht="14.25" x14ac:dyDescent="0.2">
      <c r="A16" s="55"/>
      <c r="B16" s="336" t="s">
        <v>71</v>
      </c>
      <c r="C16" s="63">
        <f t="shared" si="1"/>
        <v>183186696</v>
      </c>
      <c r="D16" s="67">
        <f t="shared" si="0"/>
        <v>55058062</v>
      </c>
      <c r="E16" s="64">
        <v>24007572</v>
      </c>
      <c r="F16" s="67">
        <v>31050490</v>
      </c>
      <c r="G16" s="65">
        <f>ROUND((E16*0.34+F16*0.34),0)</f>
        <v>18719741</v>
      </c>
      <c r="H16" s="65">
        <f t="shared" si="3"/>
        <v>360114</v>
      </c>
      <c r="I16" s="67">
        <v>109048779</v>
      </c>
      <c r="J16" s="69">
        <v>70</v>
      </c>
      <c r="K16" s="70"/>
    </row>
    <row r="17" spans="1:11" ht="14.25" x14ac:dyDescent="0.2">
      <c r="A17" s="55"/>
      <c r="B17" s="336" t="s">
        <v>72</v>
      </c>
      <c r="C17" s="63">
        <f t="shared" si="1"/>
        <v>5059048</v>
      </c>
      <c r="D17" s="67">
        <f t="shared" si="0"/>
        <v>2892545</v>
      </c>
      <c r="E17" s="64">
        <v>2002545</v>
      </c>
      <c r="F17" s="67">
        <v>890000</v>
      </c>
      <c r="G17" s="65">
        <f t="shared" si="2"/>
        <v>983465</v>
      </c>
      <c r="H17" s="65">
        <f t="shared" si="3"/>
        <v>30038</v>
      </c>
      <c r="I17" s="67">
        <v>1153000</v>
      </c>
      <c r="J17" s="69">
        <v>6</v>
      </c>
      <c r="K17" s="70"/>
    </row>
    <row r="18" spans="1:11" ht="13.5" thickBot="1" x14ac:dyDescent="0.25">
      <c r="B18" s="337" t="s">
        <v>73</v>
      </c>
      <c r="C18" s="72">
        <f>SUM(C10:C17)</f>
        <v>486136661</v>
      </c>
      <c r="D18" s="73">
        <f t="shared" ref="D18:J18" si="4">SUM(D10:D17)</f>
        <v>208359252</v>
      </c>
      <c r="E18" s="73">
        <f>SUM(E10:E17)</f>
        <v>157296762</v>
      </c>
      <c r="F18" s="73">
        <f t="shared" si="4"/>
        <v>51062490</v>
      </c>
      <c r="G18" s="338">
        <f t="shared" si="4"/>
        <v>67783816</v>
      </c>
      <c r="H18" s="74">
        <f t="shared" si="4"/>
        <v>2359452</v>
      </c>
      <c r="I18" s="74">
        <f t="shared" si="4"/>
        <v>207634141</v>
      </c>
      <c r="J18" s="339">
        <f t="shared" si="4"/>
        <v>509.51</v>
      </c>
      <c r="K18" s="76"/>
    </row>
    <row r="19" spans="1:11" ht="13.5" thickTop="1" x14ac:dyDescent="0.2">
      <c r="B19" s="340"/>
      <c r="C19" s="341"/>
      <c r="D19" s="342"/>
      <c r="E19" s="342"/>
      <c r="F19" s="342"/>
      <c r="G19" s="343"/>
      <c r="H19" s="344"/>
      <c r="I19" s="344"/>
      <c r="J19" s="345"/>
      <c r="K19" s="83"/>
    </row>
    <row r="20" spans="1:11" x14ac:dyDescent="0.2">
      <c r="B20" s="334" t="s">
        <v>83</v>
      </c>
      <c r="C20" s="346"/>
      <c r="D20" s="342"/>
      <c r="E20" s="347"/>
      <c r="F20" s="347"/>
      <c r="G20" s="343"/>
      <c r="H20" s="348"/>
      <c r="I20" s="347"/>
      <c r="J20" s="345"/>
      <c r="K20" s="83"/>
    </row>
    <row r="21" spans="1:11" x14ac:dyDescent="0.2">
      <c r="B21" s="349" t="s">
        <v>92</v>
      </c>
      <c r="C21" s="86">
        <f>SUM(D21+G21+H21+I21)</f>
        <v>7651986</v>
      </c>
      <c r="D21" s="87">
        <f>SUM(E21+F21)</f>
        <v>5647222</v>
      </c>
      <c r="E21" s="87">
        <v>5647222</v>
      </c>
      <c r="F21" s="87">
        <v>0</v>
      </c>
      <c r="G21" s="87">
        <v>1920056</v>
      </c>
      <c r="H21" s="87">
        <v>84708</v>
      </c>
      <c r="I21" s="87">
        <v>0</v>
      </c>
      <c r="J21" s="88">
        <v>16</v>
      </c>
      <c r="K21" s="83"/>
    </row>
    <row r="22" spans="1:11" x14ac:dyDescent="0.2">
      <c r="B22" s="350" t="s">
        <v>266</v>
      </c>
      <c r="C22" s="86">
        <f>SUM(D22+G22+H22+I22)</f>
        <v>387130</v>
      </c>
      <c r="D22" s="87">
        <f>SUM(E22+F22)</f>
        <v>288000</v>
      </c>
      <c r="E22" s="87"/>
      <c r="F22" s="87">
        <v>288000</v>
      </c>
      <c r="G22" s="87">
        <f>ROUND((E22*0.34+F22*0.34),0)+1210</f>
        <v>99130</v>
      </c>
      <c r="H22" s="87">
        <f>ROUND((E22*0.015),0)</f>
        <v>0</v>
      </c>
      <c r="I22" s="87"/>
      <c r="J22" s="351"/>
      <c r="K22" s="83"/>
    </row>
    <row r="23" spans="1:11" x14ac:dyDescent="0.2">
      <c r="B23" s="352" t="s">
        <v>267</v>
      </c>
      <c r="C23" s="86">
        <f>SUM(D23+G23+H23+I23)</f>
        <v>250000</v>
      </c>
      <c r="D23" s="87">
        <f>SUM(E23+F23)</f>
        <v>250000</v>
      </c>
      <c r="E23" s="353"/>
      <c r="F23" s="353">
        <v>250000</v>
      </c>
      <c r="G23" s="134">
        <f>ROUND((E23*0.34+F23*0.34),0)-85000</f>
        <v>0</v>
      </c>
      <c r="H23" s="135">
        <f>ROUND((E23*0.015),0)</f>
        <v>0</v>
      </c>
      <c r="I23" s="87"/>
      <c r="J23" s="354"/>
      <c r="K23" s="131"/>
    </row>
    <row r="24" spans="1:11" ht="13.5" thickBot="1" x14ac:dyDescent="0.25">
      <c r="B24" s="355" t="s">
        <v>268</v>
      </c>
      <c r="C24" s="356">
        <f>SUM(C21:C23)</f>
        <v>8289116</v>
      </c>
      <c r="D24" s="357">
        <f>SUM(E24+F24)</f>
        <v>6185222</v>
      </c>
      <c r="E24" s="358">
        <f t="shared" ref="E24:J24" si="5">SUM(E21:E23)</f>
        <v>5647222</v>
      </c>
      <c r="F24" s="358">
        <f t="shared" si="5"/>
        <v>538000</v>
      </c>
      <c r="G24" s="338">
        <f t="shared" si="5"/>
        <v>2019186</v>
      </c>
      <c r="H24" s="338">
        <f t="shared" si="5"/>
        <v>84708</v>
      </c>
      <c r="I24" s="338">
        <f t="shared" si="5"/>
        <v>0</v>
      </c>
      <c r="J24" s="359">
        <f t="shared" si="5"/>
        <v>16</v>
      </c>
      <c r="K24" s="76"/>
    </row>
    <row r="25" spans="1:11" ht="20.100000000000001" hidden="1" customHeight="1" x14ac:dyDescent="0.2">
      <c r="B25" s="334" t="s">
        <v>269</v>
      </c>
      <c r="C25" s="78"/>
      <c r="D25" s="79"/>
      <c r="E25" s="79"/>
      <c r="F25" s="79"/>
      <c r="G25" s="84"/>
      <c r="H25" s="81"/>
      <c r="I25" s="79"/>
      <c r="J25" s="345"/>
      <c r="K25" s="83"/>
    </row>
    <row r="26" spans="1:11" ht="13.5" hidden="1" thickTop="1" x14ac:dyDescent="0.2">
      <c r="B26" s="340" t="s">
        <v>70</v>
      </c>
      <c r="C26" s="360">
        <f>SUM(D26+G26+I26)</f>
        <v>0</v>
      </c>
      <c r="D26" s="361">
        <f>SUM(E26+F26)</f>
        <v>0</v>
      </c>
      <c r="E26" s="79"/>
      <c r="F26" s="79"/>
      <c r="G26" s="362">
        <f>252-252</f>
        <v>0</v>
      </c>
      <c r="H26" s="363"/>
      <c r="I26" s="361"/>
      <c r="J26" s="364"/>
      <c r="K26" s="216"/>
    </row>
    <row r="27" spans="1:11" ht="13.5" hidden="1" thickTop="1" x14ac:dyDescent="0.2">
      <c r="B27" s="365" t="s">
        <v>68</v>
      </c>
      <c r="C27" s="86">
        <f>SUM(D27+G27+I27)</f>
        <v>0</v>
      </c>
      <c r="D27" s="87">
        <f>SUM(E27+F27)</f>
        <v>0</v>
      </c>
      <c r="E27" s="353"/>
      <c r="F27" s="353"/>
      <c r="G27" s="134">
        <f>(E27*0.37)+(F27*0.35)</f>
        <v>0</v>
      </c>
      <c r="H27" s="135"/>
      <c r="I27" s="87"/>
      <c r="J27" s="354"/>
      <c r="K27" s="131"/>
    </row>
    <row r="28" spans="1:11" ht="14.25" hidden="1" thickTop="1" thickBot="1" x14ac:dyDescent="0.25">
      <c r="B28" s="355" t="s">
        <v>270</v>
      </c>
      <c r="C28" s="356">
        <f>SUM(C26:C27)</f>
        <v>0</v>
      </c>
      <c r="D28" s="357">
        <f>SUM(E28+F28)</f>
        <v>0</v>
      </c>
      <c r="E28" s="358">
        <f>SUM(E26:E27)</f>
        <v>0</v>
      </c>
      <c r="F28" s="358">
        <f>SUM(F26:F27)</f>
        <v>0</v>
      </c>
      <c r="G28" s="338">
        <f>SUM(G26:G27)</f>
        <v>0</v>
      </c>
      <c r="H28" s="366"/>
      <c r="I28" s="358">
        <f>SUM(C28-D28-G28)</f>
        <v>0</v>
      </c>
      <c r="J28" s="359">
        <f>SUM(J26:J27)</f>
        <v>0</v>
      </c>
      <c r="K28" s="76"/>
    </row>
    <row r="29" spans="1:11" ht="20.100000000000001" customHeight="1" thickTop="1" x14ac:dyDescent="0.2">
      <c r="B29" s="332" t="s">
        <v>271</v>
      </c>
      <c r="C29" s="78"/>
      <c r="D29" s="79"/>
      <c r="E29" s="79"/>
      <c r="F29" s="79"/>
      <c r="G29" s="84"/>
      <c r="H29" s="81"/>
      <c r="I29" s="79"/>
      <c r="J29" s="345"/>
      <c r="K29" s="83"/>
    </row>
    <row r="30" spans="1:11" x14ac:dyDescent="0.2">
      <c r="B30" s="367" t="s">
        <v>75</v>
      </c>
      <c r="C30" s="86">
        <f t="shared" ref="C30:C36" si="6">SUM(D30+G30+I30)</f>
        <v>3841144</v>
      </c>
      <c r="D30" s="87">
        <f t="shared" ref="D30:D36" si="7">SUM(E30+F30)</f>
        <v>0</v>
      </c>
      <c r="E30" s="87"/>
      <c r="F30" s="87"/>
      <c r="G30" s="87"/>
      <c r="H30" s="87"/>
      <c r="I30" s="87">
        <v>3841144</v>
      </c>
      <c r="J30" s="88"/>
      <c r="K30" s="83"/>
    </row>
    <row r="31" spans="1:11" x14ac:dyDescent="0.2">
      <c r="B31" s="367" t="s">
        <v>76</v>
      </c>
      <c r="C31" s="86">
        <f t="shared" si="6"/>
        <v>687000</v>
      </c>
      <c r="D31" s="87">
        <f t="shared" si="7"/>
        <v>0</v>
      </c>
      <c r="E31" s="87"/>
      <c r="F31" s="87"/>
      <c r="G31" s="87"/>
      <c r="H31" s="87"/>
      <c r="I31" s="87">
        <v>687000</v>
      </c>
      <c r="J31" s="88"/>
      <c r="K31" s="83"/>
    </row>
    <row r="32" spans="1:11" x14ac:dyDescent="0.2">
      <c r="B32" s="367" t="s">
        <v>77</v>
      </c>
      <c r="C32" s="86">
        <f t="shared" si="6"/>
        <v>888000</v>
      </c>
      <c r="D32" s="87">
        <f>SUM(E32+F32)</f>
        <v>0</v>
      </c>
      <c r="E32" s="87"/>
      <c r="F32" s="87"/>
      <c r="G32" s="87"/>
      <c r="H32" s="87"/>
      <c r="I32" s="87">
        <v>888000</v>
      </c>
      <c r="J32" s="88"/>
      <c r="K32" s="83"/>
    </row>
    <row r="33" spans="1:11" x14ac:dyDescent="0.2">
      <c r="B33" s="367" t="s">
        <v>78</v>
      </c>
      <c r="C33" s="86">
        <f t="shared" si="6"/>
        <v>311500</v>
      </c>
      <c r="D33" s="87">
        <f>SUM(E33+F33)</f>
        <v>0</v>
      </c>
      <c r="E33" s="87"/>
      <c r="F33" s="87"/>
      <c r="G33" s="87"/>
      <c r="H33" s="87"/>
      <c r="I33" s="87">
        <v>311500</v>
      </c>
      <c r="J33" s="88"/>
      <c r="K33" s="83"/>
    </row>
    <row r="34" spans="1:11" x14ac:dyDescent="0.2">
      <c r="B34" s="367" t="s">
        <v>79</v>
      </c>
      <c r="C34" s="86">
        <f t="shared" si="6"/>
        <v>98000</v>
      </c>
      <c r="D34" s="87">
        <f>SUM(E34+F34)</f>
        <v>0</v>
      </c>
      <c r="E34" s="87"/>
      <c r="F34" s="87"/>
      <c r="G34" s="87"/>
      <c r="H34" s="87"/>
      <c r="I34" s="87">
        <v>98000</v>
      </c>
      <c r="J34" s="88"/>
      <c r="K34" s="83"/>
    </row>
    <row r="35" spans="1:11" x14ac:dyDescent="0.2">
      <c r="B35" s="367" t="s">
        <v>80</v>
      </c>
      <c r="C35" s="86">
        <f t="shared" si="6"/>
        <v>530500</v>
      </c>
      <c r="D35" s="87">
        <f>SUM(E35+F35)</f>
        <v>0</v>
      </c>
      <c r="E35" s="87"/>
      <c r="F35" s="87"/>
      <c r="G35" s="87"/>
      <c r="H35" s="87"/>
      <c r="I35" s="87">
        <v>530500</v>
      </c>
      <c r="J35" s="88"/>
      <c r="K35" s="83"/>
    </row>
    <row r="36" spans="1:11" x14ac:dyDescent="0.2">
      <c r="B36" s="367" t="s">
        <v>81</v>
      </c>
      <c r="C36" s="86">
        <f t="shared" si="6"/>
        <v>139000</v>
      </c>
      <c r="D36" s="87">
        <f t="shared" si="7"/>
        <v>0</v>
      </c>
      <c r="E36" s="87"/>
      <c r="F36" s="87"/>
      <c r="G36" s="87"/>
      <c r="H36" s="87"/>
      <c r="I36" s="87">
        <v>139000</v>
      </c>
      <c r="J36" s="88"/>
      <c r="K36" s="83"/>
    </row>
    <row r="37" spans="1:11" ht="13.5" thickBot="1" x14ac:dyDescent="0.25">
      <c r="B37" s="368" t="s">
        <v>82</v>
      </c>
      <c r="C37" s="369">
        <f>SUM(D37+G37+I37)</f>
        <v>6495144</v>
      </c>
      <c r="D37" s="370">
        <f>SUM(E37+F37)</f>
        <v>0</v>
      </c>
      <c r="E37" s="370">
        <f t="shared" ref="E37:J37" si="8">SUM(E30:E36)</f>
        <v>0</v>
      </c>
      <c r="F37" s="370">
        <f t="shared" si="8"/>
        <v>0</v>
      </c>
      <c r="G37" s="370">
        <f t="shared" si="8"/>
        <v>0</v>
      </c>
      <c r="H37" s="371">
        <f t="shared" si="8"/>
        <v>0</v>
      </c>
      <c r="I37" s="371">
        <f t="shared" si="8"/>
        <v>6495144</v>
      </c>
      <c r="J37" s="372">
        <f t="shared" si="8"/>
        <v>0</v>
      </c>
      <c r="K37" s="76"/>
    </row>
    <row r="38" spans="1:11" ht="24.95" customHeight="1" thickTop="1" thickBot="1" x14ac:dyDescent="0.25">
      <c r="B38" s="373" t="s">
        <v>272</v>
      </c>
      <c r="C38" s="374">
        <f t="shared" ref="C38:J38" si="9">SUM(C18+C28+C24+C37)</f>
        <v>500920921</v>
      </c>
      <c r="D38" s="375">
        <f t="shared" si="9"/>
        <v>214544474</v>
      </c>
      <c r="E38" s="375">
        <f t="shared" si="9"/>
        <v>162943984</v>
      </c>
      <c r="F38" s="375">
        <f t="shared" si="9"/>
        <v>51600490</v>
      </c>
      <c r="G38" s="376">
        <f t="shared" si="9"/>
        <v>69803002</v>
      </c>
      <c r="H38" s="376">
        <f t="shared" si="9"/>
        <v>2444160</v>
      </c>
      <c r="I38" s="376">
        <f t="shared" si="9"/>
        <v>214129285</v>
      </c>
      <c r="J38" s="377">
        <f t="shared" si="9"/>
        <v>525.51</v>
      </c>
      <c r="K38" s="378"/>
    </row>
    <row r="39" spans="1:11" ht="12.75" customHeight="1" thickTop="1" x14ac:dyDescent="0.2">
      <c r="B39" s="45" t="s">
        <v>273</v>
      </c>
      <c r="C39" s="379">
        <f>SUM(C18+C24+C28)</f>
        <v>494425777</v>
      </c>
      <c r="D39" s="100">
        <f t="shared" ref="D39:J39" si="10">SUM(D18+D24+D28)</f>
        <v>214544474</v>
      </c>
      <c r="E39" s="100">
        <f t="shared" si="10"/>
        <v>162943984</v>
      </c>
      <c r="F39" s="100">
        <f t="shared" si="10"/>
        <v>51600490</v>
      </c>
      <c r="G39" s="380">
        <f t="shared" si="10"/>
        <v>69803002</v>
      </c>
      <c r="H39" s="380">
        <f t="shared" si="10"/>
        <v>2444160</v>
      </c>
      <c r="I39" s="380">
        <f t="shared" si="10"/>
        <v>207634141</v>
      </c>
      <c r="J39" s="381">
        <f t="shared" si="10"/>
        <v>525.51</v>
      </c>
      <c r="K39" s="83"/>
    </row>
    <row r="40" spans="1:11" ht="12.75" customHeight="1" x14ac:dyDescent="0.2">
      <c r="B40" s="45"/>
      <c r="C40" s="382"/>
      <c r="D40" s="383"/>
      <c r="E40" s="383"/>
      <c r="F40" s="383"/>
      <c r="G40" s="384"/>
      <c r="H40" s="384"/>
      <c r="I40" s="384"/>
      <c r="J40" s="381"/>
      <c r="K40" s="83"/>
    </row>
    <row r="41" spans="1:11" x14ac:dyDescent="0.2">
      <c r="A41" s="98"/>
      <c r="B41" s="334" t="s">
        <v>83</v>
      </c>
      <c r="C41" s="99"/>
      <c r="D41" s="100"/>
      <c r="E41" s="100"/>
      <c r="F41" s="100"/>
      <c r="G41" s="100"/>
      <c r="H41" s="100"/>
      <c r="I41" s="100"/>
      <c r="J41" s="101"/>
      <c r="K41" s="83"/>
    </row>
    <row r="42" spans="1:11" x14ac:dyDescent="0.2">
      <c r="A42" s="102"/>
      <c r="B42" s="349" t="s">
        <v>84</v>
      </c>
      <c r="C42" s="86">
        <f t="shared" ref="C42:C52" si="11">SUM(D42+G42+H42+I42)</f>
        <v>900000</v>
      </c>
      <c r="D42" s="87">
        <f t="shared" ref="D42:D52" si="12">SUM(E42+F42)</f>
        <v>434000</v>
      </c>
      <c r="E42" s="87">
        <v>360000</v>
      </c>
      <c r="F42" s="87">
        <v>74000</v>
      </c>
      <c r="G42" s="87">
        <v>122400</v>
      </c>
      <c r="H42" s="87">
        <v>5400</v>
      </c>
      <c r="I42" s="87">
        <v>338200</v>
      </c>
      <c r="J42" s="88">
        <v>1.25</v>
      </c>
      <c r="K42" s="104" t="s">
        <v>66</v>
      </c>
    </row>
    <row r="43" spans="1:11" ht="12.75" customHeight="1" x14ac:dyDescent="0.2">
      <c r="B43" s="349" t="s">
        <v>85</v>
      </c>
      <c r="C43" s="86">
        <f t="shared" si="11"/>
        <v>1837000</v>
      </c>
      <c r="D43" s="87">
        <f t="shared" si="12"/>
        <v>987000</v>
      </c>
      <c r="E43" s="87">
        <v>450000</v>
      </c>
      <c r="F43" s="87">
        <v>537000</v>
      </c>
      <c r="G43" s="87">
        <v>250000</v>
      </c>
      <c r="H43" s="87">
        <v>6750</v>
      </c>
      <c r="I43" s="87">
        <v>593250</v>
      </c>
      <c r="J43" s="88">
        <v>1.5</v>
      </c>
      <c r="K43" s="104" t="s">
        <v>66</v>
      </c>
    </row>
    <row r="44" spans="1:11" ht="12.75" customHeight="1" x14ac:dyDescent="0.2">
      <c r="B44" s="349" t="s">
        <v>86</v>
      </c>
      <c r="C44" s="86">
        <f t="shared" si="11"/>
        <v>1332305</v>
      </c>
      <c r="D44" s="87">
        <f t="shared" si="12"/>
        <v>350000</v>
      </c>
      <c r="E44" s="87">
        <v>0</v>
      </c>
      <c r="F44" s="87">
        <v>350000</v>
      </c>
      <c r="G44" s="87">
        <v>119000</v>
      </c>
      <c r="H44" s="87">
        <v>0</v>
      </c>
      <c r="I44" s="87">
        <v>863305</v>
      </c>
      <c r="J44" s="88">
        <v>0</v>
      </c>
      <c r="K44" s="104" t="s">
        <v>71</v>
      </c>
    </row>
    <row r="45" spans="1:11" ht="12.75" customHeight="1" x14ac:dyDescent="0.2">
      <c r="B45" s="349" t="s">
        <v>87</v>
      </c>
      <c r="C45" s="86">
        <f t="shared" si="11"/>
        <v>7492333</v>
      </c>
      <c r="D45" s="87">
        <f t="shared" si="12"/>
        <v>2811045</v>
      </c>
      <c r="E45" s="87">
        <v>0</v>
      </c>
      <c r="F45" s="87">
        <v>2811045</v>
      </c>
      <c r="G45" s="87">
        <v>955755</v>
      </c>
      <c r="H45" s="87">
        <v>0</v>
      </c>
      <c r="I45" s="87">
        <v>3725533</v>
      </c>
      <c r="J45" s="88">
        <v>0</v>
      </c>
      <c r="K45" s="104" t="s">
        <v>71</v>
      </c>
    </row>
    <row r="46" spans="1:11" x14ac:dyDescent="0.2">
      <c r="B46" s="350" t="s">
        <v>88</v>
      </c>
      <c r="C46" s="86">
        <f t="shared" si="11"/>
        <v>430000</v>
      </c>
      <c r="D46" s="87">
        <f t="shared" si="12"/>
        <v>0</v>
      </c>
      <c r="E46" s="87">
        <v>0</v>
      </c>
      <c r="F46" s="87">
        <v>0</v>
      </c>
      <c r="G46" s="87">
        <v>0</v>
      </c>
      <c r="H46" s="87">
        <v>0</v>
      </c>
      <c r="I46" s="87">
        <v>430000</v>
      </c>
      <c r="J46" s="88">
        <v>0</v>
      </c>
      <c r="K46" s="104" t="s">
        <v>89</v>
      </c>
    </row>
    <row r="47" spans="1:11" x14ac:dyDescent="0.2">
      <c r="B47" s="349" t="s">
        <v>90</v>
      </c>
      <c r="C47" s="86">
        <f>SUM(D47+G47+H47+I47)</f>
        <v>1400000</v>
      </c>
      <c r="D47" s="87">
        <f>SUM(E47+F47)</f>
        <v>0</v>
      </c>
      <c r="E47" s="87">
        <v>0</v>
      </c>
      <c r="F47" s="87">
        <v>0</v>
      </c>
      <c r="G47" s="87">
        <v>0</v>
      </c>
      <c r="H47" s="87">
        <v>0</v>
      </c>
      <c r="I47" s="87">
        <v>1400000</v>
      </c>
      <c r="J47" s="88">
        <v>0</v>
      </c>
      <c r="K47" s="104" t="s">
        <v>91</v>
      </c>
    </row>
    <row r="48" spans="1:11" x14ac:dyDescent="0.2">
      <c r="B48" s="349" t="s">
        <v>93</v>
      </c>
      <c r="C48" s="86">
        <f t="shared" si="11"/>
        <v>1018035</v>
      </c>
      <c r="D48" s="87">
        <f t="shared" si="12"/>
        <v>751317</v>
      </c>
      <c r="E48" s="87">
        <v>751317</v>
      </c>
      <c r="F48" s="87">
        <v>0</v>
      </c>
      <c r="G48" s="87">
        <v>255448</v>
      </c>
      <c r="H48" s="87">
        <v>11270</v>
      </c>
      <c r="I48" s="87">
        <v>0</v>
      </c>
      <c r="J48" s="88">
        <v>1.66</v>
      </c>
      <c r="K48" s="104" t="s">
        <v>65</v>
      </c>
    </row>
    <row r="49" spans="2:12" x14ac:dyDescent="0.2">
      <c r="B49" s="349" t="s">
        <v>94</v>
      </c>
      <c r="C49" s="86">
        <f t="shared" si="11"/>
        <v>300000</v>
      </c>
      <c r="D49" s="87">
        <f t="shared" si="12"/>
        <v>0</v>
      </c>
      <c r="E49" s="87">
        <v>0</v>
      </c>
      <c r="F49" s="87">
        <v>0</v>
      </c>
      <c r="G49" s="87">
        <v>0</v>
      </c>
      <c r="H49" s="87">
        <v>0</v>
      </c>
      <c r="I49" s="87">
        <v>300000</v>
      </c>
      <c r="J49" s="88">
        <v>0</v>
      </c>
      <c r="K49" s="104" t="s">
        <v>65</v>
      </c>
    </row>
    <row r="50" spans="2:12" x14ac:dyDescent="0.2">
      <c r="B50" s="349" t="s">
        <v>95</v>
      </c>
      <c r="C50" s="86">
        <f t="shared" si="11"/>
        <v>824000</v>
      </c>
      <c r="D50" s="87">
        <f t="shared" si="12"/>
        <v>0</v>
      </c>
      <c r="E50" s="87">
        <v>0</v>
      </c>
      <c r="F50" s="87">
        <v>0</v>
      </c>
      <c r="G50" s="87">
        <v>0</v>
      </c>
      <c r="H50" s="87">
        <v>0</v>
      </c>
      <c r="I50" s="87">
        <v>824000</v>
      </c>
      <c r="J50" s="88">
        <v>0</v>
      </c>
      <c r="K50" s="104" t="s">
        <v>65</v>
      </c>
    </row>
    <row r="51" spans="2:12" ht="15" x14ac:dyDescent="0.25">
      <c r="B51" s="349" t="s">
        <v>96</v>
      </c>
      <c r="C51" s="86">
        <f t="shared" si="11"/>
        <v>140000</v>
      </c>
      <c r="D51" s="87">
        <f t="shared" si="12"/>
        <v>30000</v>
      </c>
      <c r="E51" s="87">
        <v>0</v>
      </c>
      <c r="F51" s="87">
        <v>30000</v>
      </c>
      <c r="G51" s="87">
        <v>0</v>
      </c>
      <c r="H51" s="87">
        <v>0</v>
      </c>
      <c r="I51" s="87">
        <v>110000</v>
      </c>
      <c r="J51" s="88">
        <v>0</v>
      </c>
      <c r="K51" s="104" t="s">
        <v>65</v>
      </c>
      <c r="L51" s="33"/>
    </row>
    <row r="52" spans="2:12" ht="26.25" x14ac:dyDescent="0.25">
      <c r="B52" s="349" t="s">
        <v>97</v>
      </c>
      <c r="C52" s="86">
        <f t="shared" si="11"/>
        <v>1251600</v>
      </c>
      <c r="D52" s="87">
        <f t="shared" si="12"/>
        <v>208000</v>
      </c>
      <c r="E52" s="87">
        <v>0</v>
      </c>
      <c r="F52" s="87">
        <v>208000</v>
      </c>
      <c r="G52" s="87">
        <v>43600</v>
      </c>
      <c r="H52" s="87">
        <v>0</v>
      </c>
      <c r="I52" s="87">
        <v>1000000</v>
      </c>
      <c r="J52" s="88">
        <v>0</v>
      </c>
      <c r="K52" s="104" t="s">
        <v>67</v>
      </c>
      <c r="L52" s="33"/>
    </row>
    <row r="53" spans="2:12" ht="15.75" thickBot="1" x14ac:dyDescent="0.3">
      <c r="B53" s="385" t="s">
        <v>100</v>
      </c>
      <c r="C53" s="108">
        <f>SUM(C42:C52)</f>
        <v>16925273</v>
      </c>
      <c r="D53" s="109">
        <f>SUM(D42:D52)</f>
        <v>5571362</v>
      </c>
      <c r="E53" s="109">
        <f t="shared" ref="E53:J53" si="13">SUM(E42:E52)</f>
        <v>1561317</v>
      </c>
      <c r="F53" s="109">
        <f t="shared" si="13"/>
        <v>4010045</v>
      </c>
      <c r="G53" s="109">
        <f t="shared" si="13"/>
        <v>1746203</v>
      </c>
      <c r="H53" s="109">
        <f t="shared" si="13"/>
        <v>23420</v>
      </c>
      <c r="I53" s="109">
        <f t="shared" si="13"/>
        <v>9584288</v>
      </c>
      <c r="J53" s="110">
        <f t="shared" si="13"/>
        <v>4.41</v>
      </c>
      <c r="K53" s="111"/>
      <c r="L53" s="33"/>
    </row>
    <row r="54" spans="2:12" x14ac:dyDescent="0.2">
      <c r="B54" s="349"/>
      <c r="C54" s="86"/>
      <c r="D54" s="87"/>
      <c r="E54" s="87"/>
      <c r="F54" s="87"/>
      <c r="G54" s="87"/>
      <c r="H54" s="87"/>
      <c r="I54" s="87"/>
      <c r="J54" s="88"/>
      <c r="K54" s="104"/>
    </row>
    <row r="55" spans="2:12" x14ac:dyDescent="0.2">
      <c r="B55" s="386" t="s">
        <v>101</v>
      </c>
      <c r="C55" s="86"/>
      <c r="D55" s="87"/>
      <c r="E55" s="87"/>
      <c r="F55" s="87"/>
      <c r="G55" s="87"/>
      <c r="H55" s="87"/>
      <c r="I55" s="87"/>
      <c r="J55" s="88"/>
      <c r="K55" s="104"/>
    </row>
    <row r="56" spans="2:12" ht="25.5" x14ac:dyDescent="0.2">
      <c r="B56" s="349" t="s">
        <v>102</v>
      </c>
      <c r="C56" s="86">
        <f>SUM(D56+G56+H56+I56)</f>
        <v>1650000</v>
      </c>
      <c r="D56" s="87">
        <f>SUM(E56+F56)</f>
        <v>650000</v>
      </c>
      <c r="E56" s="87">
        <v>0</v>
      </c>
      <c r="F56" s="87">
        <v>650000</v>
      </c>
      <c r="G56" s="87">
        <v>184000</v>
      </c>
      <c r="H56" s="87">
        <v>0</v>
      </c>
      <c r="I56" s="87">
        <v>816000</v>
      </c>
      <c r="J56" s="88">
        <v>0</v>
      </c>
      <c r="K56" s="104" t="s">
        <v>103</v>
      </c>
    </row>
    <row r="57" spans="2:12" ht="25.5" x14ac:dyDescent="0.2">
      <c r="B57" s="349" t="s">
        <v>104</v>
      </c>
      <c r="C57" s="86">
        <f>SUM(D57+G57+H57+I57)</f>
        <v>200000</v>
      </c>
      <c r="D57" s="87">
        <f>SUM(E57+F57)</f>
        <v>200000</v>
      </c>
      <c r="E57" s="87">
        <v>0</v>
      </c>
      <c r="F57" s="87">
        <v>200000</v>
      </c>
      <c r="G57" s="87">
        <v>0</v>
      </c>
      <c r="H57" s="87">
        <v>0</v>
      </c>
      <c r="I57" s="87">
        <v>0</v>
      </c>
      <c r="J57" s="88">
        <v>0</v>
      </c>
      <c r="K57" s="104" t="s">
        <v>103</v>
      </c>
    </row>
    <row r="58" spans="2:12" ht="14.25" x14ac:dyDescent="0.2">
      <c r="B58" s="350" t="s">
        <v>274</v>
      </c>
      <c r="C58" s="125">
        <f>SUM(D58+G58+H58+I58)</f>
        <v>200000</v>
      </c>
      <c r="D58" s="126">
        <f>SUM(E58+F58)</f>
        <v>0</v>
      </c>
      <c r="E58" s="126">
        <v>0</v>
      </c>
      <c r="F58" s="126">
        <v>0</v>
      </c>
      <c r="G58" s="126">
        <v>0</v>
      </c>
      <c r="H58" s="126">
        <v>0</v>
      </c>
      <c r="I58" s="126">
        <v>200000</v>
      </c>
      <c r="J58" s="129">
        <v>0</v>
      </c>
      <c r="K58" s="106" t="s">
        <v>70</v>
      </c>
    </row>
    <row r="59" spans="2:12" ht="13.5" thickBot="1" x14ac:dyDescent="0.25">
      <c r="B59" s="385" t="s">
        <v>106</v>
      </c>
      <c r="C59" s="114">
        <f t="shared" ref="C59:J59" si="14">SUM(C56:C58)</f>
        <v>2050000</v>
      </c>
      <c r="D59" s="115">
        <f t="shared" si="14"/>
        <v>850000</v>
      </c>
      <c r="E59" s="115">
        <f t="shared" si="14"/>
        <v>0</v>
      </c>
      <c r="F59" s="115">
        <f>SUM(F56:F58)</f>
        <v>850000</v>
      </c>
      <c r="G59" s="115">
        <f t="shared" si="14"/>
        <v>184000</v>
      </c>
      <c r="H59" s="115">
        <f t="shared" si="14"/>
        <v>0</v>
      </c>
      <c r="I59" s="115">
        <f t="shared" si="14"/>
        <v>1016000</v>
      </c>
      <c r="J59" s="196">
        <f t="shared" si="14"/>
        <v>0</v>
      </c>
      <c r="K59" s="120"/>
    </row>
    <row r="60" spans="2:12" x14ac:dyDescent="0.2">
      <c r="B60" s="349"/>
      <c r="C60" s="86"/>
      <c r="D60" s="87"/>
      <c r="E60" s="87"/>
      <c r="F60" s="87"/>
      <c r="G60" s="87"/>
      <c r="H60" s="87"/>
      <c r="I60" s="87"/>
      <c r="J60" s="88"/>
      <c r="K60" s="104"/>
    </row>
    <row r="61" spans="2:12" x14ac:dyDescent="0.2">
      <c r="B61" s="386" t="s">
        <v>107</v>
      </c>
      <c r="C61" s="86"/>
      <c r="D61" s="87"/>
      <c r="E61" s="87"/>
      <c r="F61" s="87"/>
      <c r="G61" s="87"/>
      <c r="H61" s="87"/>
      <c r="I61" s="87"/>
      <c r="J61" s="88"/>
      <c r="K61" s="104"/>
    </row>
    <row r="62" spans="2:12" x14ac:dyDescent="0.2">
      <c r="B62" s="349" t="s">
        <v>108</v>
      </c>
      <c r="C62" s="86">
        <f>SUM(D62+G62+H62+I62)</f>
        <v>3159783</v>
      </c>
      <c r="D62" s="87">
        <f>SUM(E62+F62)</f>
        <v>475000</v>
      </c>
      <c r="E62" s="87">
        <v>134000</v>
      </c>
      <c r="F62" s="87">
        <v>341000</v>
      </c>
      <c r="G62" s="87">
        <v>46000</v>
      </c>
      <c r="H62" s="87">
        <v>1670</v>
      </c>
      <c r="I62" s="87">
        <v>2637113</v>
      </c>
      <c r="J62" s="88">
        <v>0</v>
      </c>
      <c r="K62" s="104" t="s">
        <v>109</v>
      </c>
    </row>
    <row r="63" spans="2:12" x14ac:dyDescent="0.2">
      <c r="B63" s="349" t="s">
        <v>110</v>
      </c>
      <c r="C63" s="86">
        <f t="shared" ref="C63:C69" si="15">SUM(D63+G63+H63+I63)</f>
        <v>7684044</v>
      </c>
      <c r="D63" s="87">
        <f t="shared" ref="D63:D69" si="16">SUM(E63+F63)</f>
        <v>0</v>
      </c>
      <c r="E63" s="87">
        <v>0</v>
      </c>
      <c r="F63" s="87">
        <v>0</v>
      </c>
      <c r="G63" s="87">
        <v>0</v>
      </c>
      <c r="H63" s="87">
        <v>0</v>
      </c>
      <c r="I63" s="87">
        <v>7684044</v>
      </c>
      <c r="J63" s="88">
        <v>0</v>
      </c>
      <c r="K63" s="104" t="s">
        <v>109</v>
      </c>
    </row>
    <row r="64" spans="2:12" x14ac:dyDescent="0.2">
      <c r="B64" s="349" t="s">
        <v>111</v>
      </c>
      <c r="C64" s="86">
        <f t="shared" si="15"/>
        <v>1085000</v>
      </c>
      <c r="D64" s="87">
        <f t="shared" si="16"/>
        <v>0</v>
      </c>
      <c r="E64" s="87">
        <v>0</v>
      </c>
      <c r="F64" s="87">
        <v>0</v>
      </c>
      <c r="G64" s="87">
        <v>0</v>
      </c>
      <c r="H64" s="87">
        <v>0</v>
      </c>
      <c r="I64" s="87">
        <v>1085000</v>
      </c>
      <c r="J64" s="88">
        <v>0</v>
      </c>
      <c r="K64" s="104" t="s">
        <v>109</v>
      </c>
    </row>
    <row r="65" spans="1:11" x14ac:dyDescent="0.2">
      <c r="B65" s="349" t="s">
        <v>112</v>
      </c>
      <c r="C65" s="86">
        <f t="shared" si="15"/>
        <v>300000</v>
      </c>
      <c r="D65" s="87">
        <f t="shared" si="16"/>
        <v>0</v>
      </c>
      <c r="E65" s="87">
        <v>0</v>
      </c>
      <c r="F65" s="87">
        <v>0</v>
      </c>
      <c r="G65" s="87">
        <v>0</v>
      </c>
      <c r="H65" s="87">
        <v>0</v>
      </c>
      <c r="I65" s="87">
        <v>300000</v>
      </c>
      <c r="J65" s="88">
        <v>0</v>
      </c>
      <c r="K65" s="104" t="s">
        <v>109</v>
      </c>
    </row>
    <row r="66" spans="1:11" x14ac:dyDescent="0.2">
      <c r="B66" s="349" t="s">
        <v>113</v>
      </c>
      <c r="C66" s="86">
        <f t="shared" si="15"/>
        <v>3693000</v>
      </c>
      <c r="D66" s="87">
        <f t="shared" si="16"/>
        <v>0</v>
      </c>
      <c r="E66" s="87">
        <v>0</v>
      </c>
      <c r="F66" s="87">
        <v>0</v>
      </c>
      <c r="G66" s="87">
        <v>0</v>
      </c>
      <c r="H66" s="87">
        <v>0</v>
      </c>
      <c r="I66" s="87">
        <v>3693000</v>
      </c>
      <c r="J66" s="88">
        <v>0</v>
      </c>
      <c r="K66" s="104" t="s">
        <v>109</v>
      </c>
    </row>
    <row r="67" spans="1:11" x14ac:dyDescent="0.2">
      <c r="B67" s="349" t="s">
        <v>114</v>
      </c>
      <c r="C67" s="86">
        <f t="shared" si="15"/>
        <v>1126000</v>
      </c>
      <c r="D67" s="87">
        <f t="shared" si="16"/>
        <v>0</v>
      </c>
      <c r="E67" s="87">
        <v>0</v>
      </c>
      <c r="F67" s="87">
        <v>0</v>
      </c>
      <c r="G67" s="87">
        <v>0</v>
      </c>
      <c r="H67" s="87">
        <v>0</v>
      </c>
      <c r="I67" s="87">
        <v>1126000</v>
      </c>
      <c r="J67" s="88">
        <v>0</v>
      </c>
      <c r="K67" s="104" t="s">
        <v>109</v>
      </c>
    </row>
    <row r="68" spans="1:11" x14ac:dyDescent="0.2">
      <c r="B68" s="349" t="s">
        <v>115</v>
      </c>
      <c r="C68" s="86">
        <f t="shared" si="15"/>
        <v>235000</v>
      </c>
      <c r="D68" s="87">
        <f t="shared" si="16"/>
        <v>0</v>
      </c>
      <c r="E68" s="87">
        <v>0</v>
      </c>
      <c r="F68" s="87">
        <v>0</v>
      </c>
      <c r="G68" s="87">
        <v>0</v>
      </c>
      <c r="H68" s="87">
        <v>0</v>
      </c>
      <c r="I68" s="87">
        <v>235000</v>
      </c>
      <c r="J68" s="88">
        <v>0</v>
      </c>
      <c r="K68" s="104" t="s">
        <v>109</v>
      </c>
    </row>
    <row r="69" spans="1:11" ht="14.25" x14ac:dyDescent="0.2">
      <c r="B69" s="349" t="s">
        <v>116</v>
      </c>
      <c r="C69" s="86">
        <f t="shared" si="15"/>
        <v>3214000</v>
      </c>
      <c r="D69" s="87">
        <f t="shared" si="16"/>
        <v>0</v>
      </c>
      <c r="E69" s="87">
        <v>0</v>
      </c>
      <c r="F69" s="87">
        <v>0</v>
      </c>
      <c r="G69" s="87">
        <v>0</v>
      </c>
      <c r="H69" s="87">
        <v>0</v>
      </c>
      <c r="I69" s="87">
        <v>3214000</v>
      </c>
      <c r="J69" s="88">
        <v>0</v>
      </c>
      <c r="K69" s="106" t="s">
        <v>109</v>
      </c>
    </row>
    <row r="70" spans="1:11" ht="13.5" thickBot="1" x14ac:dyDescent="0.25">
      <c r="B70" s="385" t="s">
        <v>117</v>
      </c>
      <c r="C70" s="108">
        <f>SUM(C62:C69)</f>
        <v>20496827</v>
      </c>
      <c r="D70" s="109">
        <f>SUM(D62:D69)</f>
        <v>475000</v>
      </c>
      <c r="E70" s="109">
        <f t="shared" ref="E70:J70" si="17">SUM(E62:E69)</f>
        <v>134000</v>
      </c>
      <c r="F70" s="109">
        <f t="shared" si="17"/>
        <v>341000</v>
      </c>
      <c r="G70" s="109">
        <f t="shared" si="17"/>
        <v>46000</v>
      </c>
      <c r="H70" s="109">
        <f t="shared" si="17"/>
        <v>1670</v>
      </c>
      <c r="I70" s="109">
        <f t="shared" si="17"/>
        <v>19974157</v>
      </c>
      <c r="J70" s="110">
        <f t="shared" si="17"/>
        <v>0</v>
      </c>
      <c r="K70" s="111"/>
    </row>
    <row r="71" spans="1:11" x14ac:dyDescent="0.2">
      <c r="B71" s="386"/>
      <c r="C71" s="86"/>
      <c r="D71" s="87"/>
      <c r="E71" s="87"/>
      <c r="F71" s="87"/>
      <c r="G71" s="87"/>
      <c r="H71" s="87"/>
      <c r="I71" s="87"/>
      <c r="J71" s="88"/>
      <c r="K71" s="104"/>
    </row>
    <row r="72" spans="1:11" ht="13.5" thickBot="1" x14ac:dyDescent="0.25">
      <c r="B72" s="385" t="s">
        <v>118</v>
      </c>
      <c r="C72" s="108">
        <f>SUM(D72+G72+H72+I72)</f>
        <v>60373050</v>
      </c>
      <c r="D72" s="109">
        <f>SUM(E72+F72)</f>
        <v>8665448</v>
      </c>
      <c r="E72" s="109">
        <v>620448</v>
      </c>
      <c r="F72" s="109">
        <v>8045000</v>
      </c>
      <c r="G72" s="109">
        <v>1759472</v>
      </c>
      <c r="H72" s="109">
        <v>9307</v>
      </c>
      <c r="I72" s="109">
        <f>50337123-398000-300</f>
        <v>49938823</v>
      </c>
      <c r="J72" s="110">
        <v>2.4700000000000002</v>
      </c>
      <c r="K72" s="387"/>
    </row>
    <row r="73" spans="1:11" ht="13.5" thickBot="1" x14ac:dyDescent="0.25">
      <c r="B73" s="388" t="s">
        <v>119</v>
      </c>
      <c r="C73" s="114">
        <f>SUM(D73+G73+H73+I73)</f>
        <v>14410318</v>
      </c>
      <c r="D73" s="115">
        <f>SUM(E73+F73)</f>
        <v>9700535</v>
      </c>
      <c r="E73" s="116">
        <v>5613235</v>
      </c>
      <c r="F73" s="116">
        <v>4087300</v>
      </c>
      <c r="G73" s="117">
        <v>2326960</v>
      </c>
      <c r="H73" s="118">
        <v>56950</v>
      </c>
      <c r="I73" s="118">
        <v>2325873</v>
      </c>
      <c r="J73" s="119">
        <v>16.11</v>
      </c>
      <c r="K73" s="389" t="s">
        <v>66</v>
      </c>
    </row>
    <row r="74" spans="1:11" x14ac:dyDescent="0.2">
      <c r="A74" s="55"/>
      <c r="B74" s="349"/>
      <c r="C74" s="86"/>
      <c r="D74" s="87"/>
      <c r="E74" s="87"/>
      <c r="F74" s="87"/>
      <c r="G74" s="87"/>
      <c r="H74" s="87"/>
      <c r="I74" s="87"/>
      <c r="J74" s="88"/>
      <c r="K74" s="104"/>
    </row>
    <row r="75" spans="1:11" x14ac:dyDescent="0.2">
      <c r="A75" s="55"/>
      <c r="B75" s="386" t="s">
        <v>120</v>
      </c>
      <c r="C75" s="86"/>
      <c r="D75" s="87"/>
      <c r="E75" s="87"/>
      <c r="F75" s="87"/>
      <c r="G75" s="87"/>
      <c r="H75" s="87"/>
      <c r="I75" s="87"/>
      <c r="J75" s="88"/>
      <c r="K75" s="104"/>
    </row>
    <row r="76" spans="1:11" x14ac:dyDescent="0.2">
      <c r="B76" s="349" t="s">
        <v>121</v>
      </c>
      <c r="C76" s="86">
        <f t="shared" ref="C76:C86" si="18">SUM(D76+G76+H76+I76)</f>
        <v>2000000</v>
      </c>
      <c r="D76" s="87">
        <f t="shared" ref="D76:D89" si="19">SUM(E76+F76)</f>
        <v>0</v>
      </c>
      <c r="E76" s="87">
        <v>0</v>
      </c>
      <c r="F76" s="87">
        <v>0</v>
      </c>
      <c r="G76" s="87">
        <v>0</v>
      </c>
      <c r="H76" s="87">
        <v>0</v>
      </c>
      <c r="I76" s="87">
        <v>2000000</v>
      </c>
      <c r="J76" s="88">
        <v>0</v>
      </c>
      <c r="K76" s="104"/>
    </row>
    <row r="77" spans="1:11" x14ac:dyDescent="0.2">
      <c r="B77" s="349" t="s">
        <v>122</v>
      </c>
      <c r="C77" s="86">
        <f t="shared" si="18"/>
        <v>4000000</v>
      </c>
      <c r="D77" s="87">
        <f t="shared" si="19"/>
        <v>0</v>
      </c>
      <c r="E77" s="87">
        <v>0</v>
      </c>
      <c r="F77" s="87">
        <v>0</v>
      </c>
      <c r="G77" s="87">
        <v>0</v>
      </c>
      <c r="H77" s="87">
        <v>0</v>
      </c>
      <c r="I77" s="87">
        <v>4000000</v>
      </c>
      <c r="J77" s="88">
        <v>0</v>
      </c>
      <c r="K77" s="104"/>
    </row>
    <row r="78" spans="1:11" ht="42.75" x14ac:dyDescent="0.2">
      <c r="B78" s="349" t="s">
        <v>123</v>
      </c>
      <c r="C78" s="86">
        <f t="shared" si="18"/>
        <v>794640.15428571426</v>
      </c>
      <c r="D78" s="87">
        <f t="shared" si="19"/>
        <v>586450.15428571426</v>
      </c>
      <c r="E78" s="87">
        <v>586450.15428571426</v>
      </c>
      <c r="F78" s="87">
        <v>0</v>
      </c>
      <c r="G78" s="87">
        <v>199393</v>
      </c>
      <c r="H78" s="87">
        <v>0</v>
      </c>
      <c r="I78" s="87">
        <v>8797</v>
      </c>
      <c r="J78" s="88">
        <v>2</v>
      </c>
      <c r="K78" s="106" t="s">
        <v>275</v>
      </c>
    </row>
    <row r="79" spans="1:11" ht="14.25" x14ac:dyDescent="0.2">
      <c r="B79" s="350" t="s">
        <v>125</v>
      </c>
      <c r="C79" s="86">
        <f t="shared" si="18"/>
        <v>897000</v>
      </c>
      <c r="D79" s="87">
        <f t="shared" si="19"/>
        <v>360000</v>
      </c>
      <c r="E79" s="87">
        <v>360000</v>
      </c>
      <c r="F79" s="87"/>
      <c r="G79" s="87">
        <v>122400</v>
      </c>
      <c r="H79" s="87"/>
      <c r="I79" s="87">
        <f>409200+5400</f>
        <v>414600</v>
      </c>
      <c r="J79" s="88">
        <v>1</v>
      </c>
      <c r="K79" s="106"/>
    </row>
    <row r="80" spans="1:11" ht="25.5" x14ac:dyDescent="0.2">
      <c r="B80" s="350" t="s">
        <v>126</v>
      </c>
      <c r="C80" s="86">
        <f t="shared" si="18"/>
        <v>686502</v>
      </c>
      <c r="D80" s="87">
        <f t="shared" si="19"/>
        <v>0</v>
      </c>
      <c r="E80" s="87">
        <v>0</v>
      </c>
      <c r="F80" s="87">
        <v>0</v>
      </c>
      <c r="G80" s="87">
        <v>0</v>
      </c>
      <c r="H80" s="87">
        <v>0</v>
      </c>
      <c r="I80" s="87">
        <v>686502</v>
      </c>
      <c r="J80" s="88">
        <v>0</v>
      </c>
      <c r="K80" s="104"/>
    </row>
    <row r="81" spans="1:12" ht="14.25" x14ac:dyDescent="0.2">
      <c r="B81" s="349" t="s">
        <v>127</v>
      </c>
      <c r="C81" s="86">
        <f t="shared" si="18"/>
        <v>0</v>
      </c>
      <c r="D81" s="87">
        <f t="shared" si="19"/>
        <v>0</v>
      </c>
      <c r="E81" s="87">
        <v>0</v>
      </c>
      <c r="F81" s="87">
        <v>0</v>
      </c>
      <c r="G81" s="87">
        <v>0</v>
      </c>
      <c r="H81" s="87">
        <v>0</v>
      </c>
      <c r="I81" s="87">
        <v>0</v>
      </c>
      <c r="J81" s="88">
        <v>2</v>
      </c>
      <c r="K81" s="106" t="s">
        <v>151</v>
      </c>
    </row>
    <row r="82" spans="1:12" x14ac:dyDescent="0.2">
      <c r="B82" s="349" t="s">
        <v>129</v>
      </c>
      <c r="C82" s="86">
        <f t="shared" si="18"/>
        <v>500000</v>
      </c>
      <c r="D82" s="87">
        <f t="shared" si="19"/>
        <v>0</v>
      </c>
      <c r="E82" s="87">
        <v>0</v>
      </c>
      <c r="F82" s="87">
        <v>0</v>
      </c>
      <c r="G82" s="87">
        <v>0</v>
      </c>
      <c r="H82" s="87">
        <v>0</v>
      </c>
      <c r="I82" s="87">
        <v>500000</v>
      </c>
      <c r="J82" s="88">
        <v>0</v>
      </c>
      <c r="K82" s="104"/>
    </row>
    <row r="83" spans="1:12" x14ac:dyDescent="0.2">
      <c r="B83" s="349" t="s">
        <v>130</v>
      </c>
      <c r="C83" s="86">
        <f t="shared" si="18"/>
        <v>1013000</v>
      </c>
      <c r="D83" s="87">
        <f t="shared" si="19"/>
        <v>0</v>
      </c>
      <c r="E83" s="87">
        <v>0</v>
      </c>
      <c r="F83" s="87">
        <v>0</v>
      </c>
      <c r="G83" s="87">
        <v>0</v>
      </c>
      <c r="H83" s="87">
        <v>0</v>
      </c>
      <c r="I83" s="87">
        <v>1013000</v>
      </c>
      <c r="J83" s="88">
        <v>0</v>
      </c>
      <c r="K83" s="104"/>
    </row>
    <row r="84" spans="1:12" x14ac:dyDescent="0.2">
      <c r="B84" s="349" t="s">
        <v>131</v>
      </c>
      <c r="C84" s="86">
        <f t="shared" si="18"/>
        <v>3300000</v>
      </c>
      <c r="D84" s="87">
        <f t="shared" si="19"/>
        <v>0</v>
      </c>
      <c r="E84" s="87">
        <v>0</v>
      </c>
      <c r="F84" s="87">
        <v>0</v>
      </c>
      <c r="G84" s="87">
        <v>0</v>
      </c>
      <c r="H84" s="87">
        <v>0</v>
      </c>
      <c r="I84" s="87">
        <v>3300000</v>
      </c>
      <c r="J84" s="88">
        <v>0</v>
      </c>
      <c r="K84" s="104"/>
    </row>
    <row r="85" spans="1:12" x14ac:dyDescent="0.2">
      <c r="B85" s="349" t="s">
        <v>132</v>
      </c>
      <c r="C85" s="86">
        <f t="shared" si="18"/>
        <v>2000000</v>
      </c>
      <c r="D85" s="87">
        <f t="shared" si="19"/>
        <v>0</v>
      </c>
      <c r="E85" s="87">
        <v>0</v>
      </c>
      <c r="F85" s="87">
        <v>0</v>
      </c>
      <c r="G85" s="87">
        <v>0</v>
      </c>
      <c r="H85" s="87">
        <v>0</v>
      </c>
      <c r="I85" s="87">
        <v>2000000</v>
      </c>
      <c r="J85" s="88">
        <v>0</v>
      </c>
      <c r="K85" s="104"/>
    </row>
    <row r="86" spans="1:12" ht="14.25" x14ac:dyDescent="0.2">
      <c r="B86" s="349" t="s">
        <v>133</v>
      </c>
      <c r="C86" s="86">
        <f t="shared" si="18"/>
        <v>400000</v>
      </c>
      <c r="D86" s="87">
        <f t="shared" si="19"/>
        <v>0</v>
      </c>
      <c r="E86" s="87">
        <v>0</v>
      </c>
      <c r="F86" s="87">
        <v>0</v>
      </c>
      <c r="G86" s="87">
        <v>0</v>
      </c>
      <c r="H86" s="87">
        <v>0</v>
      </c>
      <c r="I86" s="87">
        <v>400000</v>
      </c>
      <c r="J86" s="88">
        <v>0</v>
      </c>
      <c r="K86" s="106" t="s">
        <v>134</v>
      </c>
    </row>
    <row r="87" spans="1:12" ht="14.25" x14ac:dyDescent="0.2">
      <c r="A87" s="102"/>
      <c r="B87" s="365" t="s">
        <v>135</v>
      </c>
      <c r="C87" s="86">
        <f>D87+G87+H87+I87</f>
        <v>7279543</v>
      </c>
      <c r="D87" s="87">
        <f t="shared" si="19"/>
        <v>0</v>
      </c>
      <c r="E87" s="87"/>
      <c r="F87" s="87"/>
      <c r="G87" s="134">
        <v>0</v>
      </c>
      <c r="H87" s="135">
        <v>0</v>
      </c>
      <c r="I87" s="87">
        <v>7279543</v>
      </c>
      <c r="J87" s="136"/>
      <c r="K87" s="390"/>
    </row>
    <row r="88" spans="1:12" x14ac:dyDescent="0.2">
      <c r="A88" s="102"/>
      <c r="B88" s="391" t="s">
        <v>136</v>
      </c>
      <c r="C88" s="86">
        <f>D88+G88+H88+I88</f>
        <v>28437473</v>
      </c>
      <c r="D88" s="87">
        <f t="shared" si="19"/>
        <v>7873499</v>
      </c>
      <c r="E88" s="87">
        <v>4413301</v>
      </c>
      <c r="F88" s="87">
        <v>3460198</v>
      </c>
      <c r="G88" s="134">
        <v>832224</v>
      </c>
      <c r="H88" s="135">
        <v>0</v>
      </c>
      <c r="I88" s="87">
        <v>19731750</v>
      </c>
      <c r="J88" s="88">
        <v>8.5</v>
      </c>
      <c r="K88" s="392"/>
    </row>
    <row r="89" spans="1:12" x14ac:dyDescent="0.2">
      <c r="A89" s="102"/>
      <c r="B89" s="365" t="s">
        <v>120</v>
      </c>
      <c r="C89" s="86">
        <f>D89+G89+H89+I89</f>
        <v>20000000</v>
      </c>
      <c r="D89" s="87">
        <f t="shared" si="19"/>
        <v>0</v>
      </c>
      <c r="E89" s="87"/>
      <c r="F89" s="87"/>
      <c r="G89" s="134">
        <v>0</v>
      </c>
      <c r="H89" s="135">
        <v>0</v>
      </c>
      <c r="I89" s="87">
        <v>20000000</v>
      </c>
      <c r="J89" s="88"/>
      <c r="K89" s="392"/>
    </row>
    <row r="90" spans="1:12" ht="21" customHeight="1" thickBot="1" x14ac:dyDescent="0.25">
      <c r="A90" s="138"/>
      <c r="B90" s="393" t="s">
        <v>137</v>
      </c>
      <c r="C90" s="89">
        <f>SUM(C74:C89)</f>
        <v>71308158.154285714</v>
      </c>
      <c r="D90" s="141">
        <f t="shared" ref="D90:I90" si="20">SUM(D74:D89)</f>
        <v>8819949.154285714</v>
      </c>
      <c r="E90" s="141">
        <f t="shared" si="20"/>
        <v>5359751.154285714</v>
      </c>
      <c r="F90" s="141">
        <f t="shared" si="20"/>
        <v>3460198</v>
      </c>
      <c r="G90" s="141">
        <f t="shared" si="20"/>
        <v>1154017</v>
      </c>
      <c r="H90" s="141">
        <f t="shared" si="20"/>
        <v>0</v>
      </c>
      <c r="I90" s="141">
        <f t="shared" si="20"/>
        <v>61334192</v>
      </c>
      <c r="J90" s="92">
        <f>SUM(J75:J89)</f>
        <v>13.5</v>
      </c>
      <c r="K90" s="394"/>
    </row>
    <row r="91" spans="1:12" ht="17.25" customHeight="1" thickTop="1" thickBot="1" x14ac:dyDescent="0.25">
      <c r="A91" s="138"/>
      <c r="B91" s="395" t="s">
        <v>138</v>
      </c>
      <c r="C91" s="146">
        <f t="shared" ref="C91:J91" si="21">SUM(C38+C53+C59+C70+C72+C73+C90)</f>
        <v>686484547.15428567</v>
      </c>
      <c r="D91" s="147">
        <f t="shared" si="21"/>
        <v>248626768.15428573</v>
      </c>
      <c r="E91" s="147">
        <f t="shared" si="21"/>
        <v>176232735.15428573</v>
      </c>
      <c r="F91" s="147">
        <f t="shared" si="21"/>
        <v>72394033</v>
      </c>
      <c r="G91" s="148">
        <f t="shared" si="21"/>
        <v>77019654</v>
      </c>
      <c r="H91" s="148">
        <f t="shared" si="21"/>
        <v>2535507</v>
      </c>
      <c r="I91" s="148">
        <f t="shared" si="21"/>
        <v>358302618</v>
      </c>
      <c r="J91" s="149">
        <f t="shared" si="21"/>
        <v>562</v>
      </c>
      <c r="K91" s="396"/>
    </row>
    <row r="92" spans="1:12" ht="28.5" customHeight="1" thickBot="1" x14ac:dyDescent="0.25">
      <c r="A92" s="102"/>
      <c r="B92" s="397" t="s">
        <v>139</v>
      </c>
      <c r="C92" s="152">
        <f>D92+G92+H92+I92</f>
        <v>686484547</v>
      </c>
      <c r="D92" s="153">
        <f>E92+F92</f>
        <v>248626768</v>
      </c>
      <c r="E92" s="154">
        <f t="shared" ref="E92:J92" si="22">E95-E96</f>
        <v>176232735</v>
      </c>
      <c r="F92" s="154">
        <f t="shared" si="22"/>
        <v>72394033</v>
      </c>
      <c r="G92" s="154">
        <f t="shared" si="22"/>
        <v>77019654</v>
      </c>
      <c r="H92" s="154">
        <f t="shared" si="22"/>
        <v>2535507</v>
      </c>
      <c r="I92" s="154">
        <f t="shared" si="22"/>
        <v>358302618</v>
      </c>
      <c r="J92" s="155">
        <f t="shared" si="22"/>
        <v>562</v>
      </c>
      <c r="K92" s="398"/>
    </row>
    <row r="93" spans="1:12" ht="25.5" x14ac:dyDescent="0.2">
      <c r="A93" s="157"/>
      <c r="B93" s="399" t="s">
        <v>140</v>
      </c>
      <c r="C93" s="400">
        <f>SUM(C92-C91)</f>
        <v>-0.15428566932678223</v>
      </c>
      <c r="D93" s="401">
        <f>SUM(D92-D91)</f>
        <v>-0.154285728931427</v>
      </c>
      <c r="E93" s="401">
        <f t="shared" ref="E93:J93" si="23">SUM(E92-E91)</f>
        <v>-0.154285728931427</v>
      </c>
      <c r="F93" s="402">
        <f t="shared" si="23"/>
        <v>0</v>
      </c>
      <c r="G93" s="401">
        <f t="shared" si="23"/>
        <v>0</v>
      </c>
      <c r="H93" s="401">
        <f t="shared" si="23"/>
        <v>0</v>
      </c>
      <c r="I93" s="402">
        <f t="shared" si="23"/>
        <v>0</v>
      </c>
      <c r="J93" s="403">
        <f t="shared" si="23"/>
        <v>0</v>
      </c>
      <c r="K93" s="404"/>
    </row>
    <row r="94" spans="1:12" x14ac:dyDescent="0.2">
      <c r="A94" s="157"/>
      <c r="B94" s="405"/>
      <c r="C94" s="162"/>
      <c r="D94" s="162"/>
      <c r="E94" s="162"/>
      <c r="F94" s="162"/>
      <c r="G94" s="162"/>
      <c r="H94" s="162"/>
      <c r="I94" s="163"/>
      <c r="J94" s="164"/>
      <c r="K94" s="164"/>
    </row>
    <row r="95" spans="1:12" x14ac:dyDescent="0.2">
      <c r="A95" s="102"/>
      <c r="B95" s="406" t="s">
        <v>141</v>
      </c>
      <c r="C95" s="407">
        <f>D95+G95+H95+I95</f>
        <v>733938547</v>
      </c>
      <c r="D95" s="407">
        <f>E95+F95</f>
        <v>257276768</v>
      </c>
      <c r="E95" s="407">
        <v>184882735</v>
      </c>
      <c r="F95" s="407">
        <v>72394033</v>
      </c>
      <c r="G95" s="407">
        <v>79960654</v>
      </c>
      <c r="H95" s="407">
        <v>2665257</v>
      </c>
      <c r="I95" s="407">
        <v>394035868</v>
      </c>
      <c r="J95" s="408">
        <v>608</v>
      </c>
      <c r="K95" s="32"/>
      <c r="L95" s="169"/>
    </row>
    <row r="96" spans="1:12" x14ac:dyDescent="0.2">
      <c r="A96" s="102"/>
      <c r="B96" s="406" t="s">
        <v>142</v>
      </c>
      <c r="C96" s="407">
        <f>D96+G96+H96+I96</f>
        <v>47454000</v>
      </c>
      <c r="D96" s="407">
        <f>E96+F96</f>
        <v>8650000</v>
      </c>
      <c r="E96" s="407">
        <v>8650000</v>
      </c>
      <c r="F96" s="407">
        <v>0</v>
      </c>
      <c r="G96" s="407">
        <v>2941000</v>
      </c>
      <c r="H96" s="407">
        <v>129750</v>
      </c>
      <c r="I96" s="407">
        <f>29376500+6400000-43250</f>
        <v>35733250</v>
      </c>
      <c r="J96" s="408">
        <v>46</v>
      </c>
      <c r="K96" s="32"/>
      <c r="L96" s="169"/>
    </row>
  </sheetData>
  <mergeCells count="6">
    <mergeCell ref="B1:K1"/>
    <mergeCell ref="D5:D7"/>
    <mergeCell ref="E5:F5"/>
    <mergeCell ref="I5:I7"/>
    <mergeCell ref="E6:E7"/>
    <mergeCell ref="F6:F7"/>
  </mergeCells>
  <printOptions horizontalCentered="1"/>
  <pageMargins left="0.70866141732283472" right="0.70866141732283472" top="0.78740157480314965" bottom="0.78740157480314965" header="0.51181102362204722" footer="0.31496062992125984"/>
  <pageSetup paperSize="9" scale="47" orientation="portrait" r:id="rId1"/>
  <headerFooter alignWithMargins="0">
    <oddHeader>&amp;RKapitola C.VI
&amp;"-,Tučné"Tabulka č. 1d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workbookViewId="0">
      <selection activeCell="T15" sqref="T15"/>
    </sheetView>
  </sheetViews>
  <sheetFormatPr defaultRowHeight="15" x14ac:dyDescent="0.25"/>
  <cols>
    <col min="1" max="1" width="3" customWidth="1"/>
    <col min="2" max="2" width="7.7109375" customWidth="1"/>
    <col min="3" max="3" width="11.85546875" customWidth="1"/>
    <col min="4" max="4" width="3.5703125" customWidth="1"/>
    <col min="5" max="5" width="12.28515625" customWidth="1"/>
    <col min="6" max="7" width="11.28515625" customWidth="1"/>
    <col min="8" max="8" width="11.28515625" bestFit="1" customWidth="1"/>
    <col min="9" max="9" width="10.7109375" customWidth="1"/>
    <col min="10" max="10" width="12.42578125" customWidth="1"/>
    <col min="11" max="11" width="11.28515625" bestFit="1" customWidth="1"/>
    <col min="12" max="12" width="10.42578125" customWidth="1"/>
    <col min="13" max="13" width="13.28515625" customWidth="1"/>
    <col min="15" max="15" width="10.28515625" bestFit="1" customWidth="1"/>
    <col min="257" max="257" width="3" customWidth="1"/>
    <col min="258" max="258" width="7.7109375" customWidth="1"/>
    <col min="259" max="259" width="11.85546875" customWidth="1"/>
    <col min="260" max="260" width="3.5703125" customWidth="1"/>
    <col min="261" max="261" width="12.28515625" customWidth="1"/>
    <col min="262" max="263" width="11.28515625" customWidth="1"/>
    <col min="264" max="264" width="11.28515625" bestFit="1" customWidth="1"/>
    <col min="265" max="265" width="10.7109375" customWidth="1"/>
    <col min="266" max="266" width="12.42578125" customWidth="1"/>
    <col min="267" max="267" width="11.28515625" bestFit="1" customWidth="1"/>
    <col min="268" max="268" width="10.42578125" customWidth="1"/>
    <col min="269" max="269" width="13.28515625" customWidth="1"/>
    <col min="271" max="271" width="10.28515625" bestFit="1" customWidth="1"/>
    <col min="513" max="513" width="3" customWidth="1"/>
    <col min="514" max="514" width="7.7109375" customWidth="1"/>
    <col min="515" max="515" width="11.85546875" customWidth="1"/>
    <col min="516" max="516" width="3.5703125" customWidth="1"/>
    <col min="517" max="517" width="12.28515625" customWidth="1"/>
    <col min="518" max="519" width="11.28515625" customWidth="1"/>
    <col min="520" max="520" width="11.28515625" bestFit="1" customWidth="1"/>
    <col min="521" max="521" width="10.7109375" customWidth="1"/>
    <col min="522" max="522" width="12.42578125" customWidth="1"/>
    <col min="523" max="523" width="11.28515625" bestFit="1" customWidth="1"/>
    <col min="524" max="524" width="10.42578125" customWidth="1"/>
    <col min="525" max="525" width="13.28515625" customWidth="1"/>
    <col min="527" max="527" width="10.28515625" bestFit="1" customWidth="1"/>
    <col min="769" max="769" width="3" customWidth="1"/>
    <col min="770" max="770" width="7.7109375" customWidth="1"/>
    <col min="771" max="771" width="11.85546875" customWidth="1"/>
    <col min="772" max="772" width="3.5703125" customWidth="1"/>
    <col min="773" max="773" width="12.28515625" customWidth="1"/>
    <col min="774" max="775" width="11.28515625" customWidth="1"/>
    <col min="776" max="776" width="11.28515625" bestFit="1" customWidth="1"/>
    <col min="777" max="777" width="10.7109375" customWidth="1"/>
    <col min="778" max="778" width="12.42578125" customWidth="1"/>
    <col min="779" max="779" width="11.28515625" bestFit="1" customWidth="1"/>
    <col min="780" max="780" width="10.42578125" customWidth="1"/>
    <col min="781" max="781" width="13.28515625" customWidth="1"/>
    <col min="783" max="783" width="10.28515625" bestFit="1" customWidth="1"/>
    <col min="1025" max="1025" width="3" customWidth="1"/>
    <col min="1026" max="1026" width="7.7109375" customWidth="1"/>
    <col min="1027" max="1027" width="11.85546875" customWidth="1"/>
    <col min="1028" max="1028" width="3.5703125" customWidth="1"/>
    <col min="1029" max="1029" width="12.28515625" customWidth="1"/>
    <col min="1030" max="1031" width="11.28515625" customWidth="1"/>
    <col min="1032" max="1032" width="11.28515625" bestFit="1" customWidth="1"/>
    <col min="1033" max="1033" width="10.7109375" customWidth="1"/>
    <col min="1034" max="1034" width="12.42578125" customWidth="1"/>
    <col min="1035" max="1035" width="11.28515625" bestFit="1" customWidth="1"/>
    <col min="1036" max="1036" width="10.42578125" customWidth="1"/>
    <col min="1037" max="1037" width="13.28515625" customWidth="1"/>
    <col min="1039" max="1039" width="10.28515625" bestFit="1" customWidth="1"/>
    <col min="1281" max="1281" width="3" customWidth="1"/>
    <col min="1282" max="1282" width="7.7109375" customWidth="1"/>
    <col min="1283" max="1283" width="11.85546875" customWidth="1"/>
    <col min="1284" max="1284" width="3.5703125" customWidth="1"/>
    <col min="1285" max="1285" width="12.28515625" customWidth="1"/>
    <col min="1286" max="1287" width="11.28515625" customWidth="1"/>
    <col min="1288" max="1288" width="11.28515625" bestFit="1" customWidth="1"/>
    <col min="1289" max="1289" width="10.7109375" customWidth="1"/>
    <col min="1290" max="1290" width="12.42578125" customWidth="1"/>
    <col min="1291" max="1291" width="11.28515625" bestFit="1" customWidth="1"/>
    <col min="1292" max="1292" width="10.42578125" customWidth="1"/>
    <col min="1293" max="1293" width="13.28515625" customWidth="1"/>
    <col min="1295" max="1295" width="10.28515625" bestFit="1" customWidth="1"/>
    <col min="1537" max="1537" width="3" customWidth="1"/>
    <col min="1538" max="1538" width="7.7109375" customWidth="1"/>
    <col min="1539" max="1539" width="11.85546875" customWidth="1"/>
    <col min="1540" max="1540" width="3.5703125" customWidth="1"/>
    <col min="1541" max="1541" width="12.28515625" customWidth="1"/>
    <col min="1542" max="1543" width="11.28515625" customWidth="1"/>
    <col min="1544" max="1544" width="11.28515625" bestFit="1" customWidth="1"/>
    <col min="1545" max="1545" width="10.7109375" customWidth="1"/>
    <col min="1546" max="1546" width="12.42578125" customWidth="1"/>
    <col min="1547" max="1547" width="11.28515625" bestFit="1" customWidth="1"/>
    <col min="1548" max="1548" width="10.42578125" customWidth="1"/>
    <col min="1549" max="1549" width="13.28515625" customWidth="1"/>
    <col min="1551" max="1551" width="10.28515625" bestFit="1" customWidth="1"/>
    <col min="1793" max="1793" width="3" customWidth="1"/>
    <col min="1794" max="1794" width="7.7109375" customWidth="1"/>
    <col min="1795" max="1795" width="11.85546875" customWidth="1"/>
    <col min="1796" max="1796" width="3.5703125" customWidth="1"/>
    <col min="1797" max="1797" width="12.28515625" customWidth="1"/>
    <col min="1798" max="1799" width="11.28515625" customWidth="1"/>
    <col min="1800" max="1800" width="11.28515625" bestFit="1" customWidth="1"/>
    <col min="1801" max="1801" width="10.7109375" customWidth="1"/>
    <col min="1802" max="1802" width="12.42578125" customWidth="1"/>
    <col min="1803" max="1803" width="11.28515625" bestFit="1" customWidth="1"/>
    <col min="1804" max="1804" width="10.42578125" customWidth="1"/>
    <col min="1805" max="1805" width="13.28515625" customWidth="1"/>
    <col min="1807" max="1807" width="10.28515625" bestFit="1" customWidth="1"/>
    <col min="2049" max="2049" width="3" customWidth="1"/>
    <col min="2050" max="2050" width="7.7109375" customWidth="1"/>
    <col min="2051" max="2051" width="11.85546875" customWidth="1"/>
    <col min="2052" max="2052" width="3.5703125" customWidth="1"/>
    <col min="2053" max="2053" width="12.28515625" customWidth="1"/>
    <col min="2054" max="2055" width="11.28515625" customWidth="1"/>
    <col min="2056" max="2056" width="11.28515625" bestFit="1" customWidth="1"/>
    <col min="2057" max="2057" width="10.7109375" customWidth="1"/>
    <col min="2058" max="2058" width="12.42578125" customWidth="1"/>
    <col min="2059" max="2059" width="11.28515625" bestFit="1" customWidth="1"/>
    <col min="2060" max="2060" width="10.42578125" customWidth="1"/>
    <col min="2061" max="2061" width="13.28515625" customWidth="1"/>
    <col min="2063" max="2063" width="10.28515625" bestFit="1" customWidth="1"/>
    <col min="2305" max="2305" width="3" customWidth="1"/>
    <col min="2306" max="2306" width="7.7109375" customWidth="1"/>
    <col min="2307" max="2307" width="11.85546875" customWidth="1"/>
    <col min="2308" max="2308" width="3.5703125" customWidth="1"/>
    <col min="2309" max="2309" width="12.28515625" customWidth="1"/>
    <col min="2310" max="2311" width="11.28515625" customWidth="1"/>
    <col min="2312" max="2312" width="11.28515625" bestFit="1" customWidth="1"/>
    <col min="2313" max="2313" width="10.7109375" customWidth="1"/>
    <col min="2314" max="2314" width="12.42578125" customWidth="1"/>
    <col min="2315" max="2315" width="11.28515625" bestFit="1" customWidth="1"/>
    <col min="2316" max="2316" width="10.42578125" customWidth="1"/>
    <col min="2317" max="2317" width="13.28515625" customWidth="1"/>
    <col min="2319" max="2319" width="10.28515625" bestFit="1" customWidth="1"/>
    <col min="2561" max="2561" width="3" customWidth="1"/>
    <col min="2562" max="2562" width="7.7109375" customWidth="1"/>
    <col min="2563" max="2563" width="11.85546875" customWidth="1"/>
    <col min="2564" max="2564" width="3.5703125" customWidth="1"/>
    <col min="2565" max="2565" width="12.28515625" customWidth="1"/>
    <col min="2566" max="2567" width="11.28515625" customWidth="1"/>
    <col min="2568" max="2568" width="11.28515625" bestFit="1" customWidth="1"/>
    <col min="2569" max="2569" width="10.7109375" customWidth="1"/>
    <col min="2570" max="2570" width="12.42578125" customWidth="1"/>
    <col min="2571" max="2571" width="11.28515625" bestFit="1" customWidth="1"/>
    <col min="2572" max="2572" width="10.42578125" customWidth="1"/>
    <col min="2573" max="2573" width="13.28515625" customWidth="1"/>
    <col min="2575" max="2575" width="10.28515625" bestFit="1" customWidth="1"/>
    <col min="2817" max="2817" width="3" customWidth="1"/>
    <col min="2818" max="2818" width="7.7109375" customWidth="1"/>
    <col min="2819" max="2819" width="11.85546875" customWidth="1"/>
    <col min="2820" max="2820" width="3.5703125" customWidth="1"/>
    <col min="2821" max="2821" width="12.28515625" customWidth="1"/>
    <col min="2822" max="2823" width="11.28515625" customWidth="1"/>
    <col min="2824" max="2824" width="11.28515625" bestFit="1" customWidth="1"/>
    <col min="2825" max="2825" width="10.7109375" customWidth="1"/>
    <col min="2826" max="2826" width="12.42578125" customWidth="1"/>
    <col min="2827" max="2827" width="11.28515625" bestFit="1" customWidth="1"/>
    <col min="2828" max="2828" width="10.42578125" customWidth="1"/>
    <col min="2829" max="2829" width="13.28515625" customWidth="1"/>
    <col min="2831" max="2831" width="10.28515625" bestFit="1" customWidth="1"/>
    <col min="3073" max="3073" width="3" customWidth="1"/>
    <col min="3074" max="3074" width="7.7109375" customWidth="1"/>
    <col min="3075" max="3075" width="11.85546875" customWidth="1"/>
    <col min="3076" max="3076" width="3.5703125" customWidth="1"/>
    <col min="3077" max="3077" width="12.28515625" customWidth="1"/>
    <col min="3078" max="3079" width="11.28515625" customWidth="1"/>
    <col min="3080" max="3080" width="11.28515625" bestFit="1" customWidth="1"/>
    <col min="3081" max="3081" width="10.7109375" customWidth="1"/>
    <col min="3082" max="3082" width="12.42578125" customWidth="1"/>
    <col min="3083" max="3083" width="11.28515625" bestFit="1" customWidth="1"/>
    <col min="3084" max="3084" width="10.42578125" customWidth="1"/>
    <col min="3085" max="3085" width="13.28515625" customWidth="1"/>
    <col min="3087" max="3087" width="10.28515625" bestFit="1" customWidth="1"/>
    <col min="3329" max="3329" width="3" customWidth="1"/>
    <col min="3330" max="3330" width="7.7109375" customWidth="1"/>
    <col min="3331" max="3331" width="11.85546875" customWidth="1"/>
    <col min="3332" max="3332" width="3.5703125" customWidth="1"/>
    <col min="3333" max="3333" width="12.28515625" customWidth="1"/>
    <col min="3334" max="3335" width="11.28515625" customWidth="1"/>
    <col min="3336" max="3336" width="11.28515625" bestFit="1" customWidth="1"/>
    <col min="3337" max="3337" width="10.7109375" customWidth="1"/>
    <col min="3338" max="3338" width="12.42578125" customWidth="1"/>
    <col min="3339" max="3339" width="11.28515625" bestFit="1" customWidth="1"/>
    <col min="3340" max="3340" width="10.42578125" customWidth="1"/>
    <col min="3341" max="3341" width="13.28515625" customWidth="1"/>
    <col min="3343" max="3343" width="10.28515625" bestFit="1" customWidth="1"/>
    <col min="3585" max="3585" width="3" customWidth="1"/>
    <col min="3586" max="3586" width="7.7109375" customWidth="1"/>
    <col min="3587" max="3587" width="11.85546875" customWidth="1"/>
    <col min="3588" max="3588" width="3.5703125" customWidth="1"/>
    <col min="3589" max="3589" width="12.28515625" customWidth="1"/>
    <col min="3590" max="3591" width="11.28515625" customWidth="1"/>
    <col min="3592" max="3592" width="11.28515625" bestFit="1" customWidth="1"/>
    <col min="3593" max="3593" width="10.7109375" customWidth="1"/>
    <col min="3594" max="3594" width="12.42578125" customWidth="1"/>
    <col min="3595" max="3595" width="11.28515625" bestFit="1" customWidth="1"/>
    <col min="3596" max="3596" width="10.42578125" customWidth="1"/>
    <col min="3597" max="3597" width="13.28515625" customWidth="1"/>
    <col min="3599" max="3599" width="10.28515625" bestFit="1" customWidth="1"/>
    <col min="3841" max="3841" width="3" customWidth="1"/>
    <col min="3842" max="3842" width="7.7109375" customWidth="1"/>
    <col min="3843" max="3843" width="11.85546875" customWidth="1"/>
    <col min="3844" max="3844" width="3.5703125" customWidth="1"/>
    <col min="3845" max="3845" width="12.28515625" customWidth="1"/>
    <col min="3846" max="3847" width="11.28515625" customWidth="1"/>
    <col min="3848" max="3848" width="11.28515625" bestFit="1" customWidth="1"/>
    <col min="3849" max="3849" width="10.7109375" customWidth="1"/>
    <col min="3850" max="3850" width="12.42578125" customWidth="1"/>
    <col min="3851" max="3851" width="11.28515625" bestFit="1" customWidth="1"/>
    <col min="3852" max="3852" width="10.42578125" customWidth="1"/>
    <col min="3853" max="3853" width="13.28515625" customWidth="1"/>
    <col min="3855" max="3855" width="10.28515625" bestFit="1" customWidth="1"/>
    <col min="4097" max="4097" width="3" customWidth="1"/>
    <col min="4098" max="4098" width="7.7109375" customWidth="1"/>
    <col min="4099" max="4099" width="11.85546875" customWidth="1"/>
    <col min="4100" max="4100" width="3.5703125" customWidth="1"/>
    <col min="4101" max="4101" width="12.28515625" customWidth="1"/>
    <col min="4102" max="4103" width="11.28515625" customWidth="1"/>
    <col min="4104" max="4104" width="11.28515625" bestFit="1" customWidth="1"/>
    <col min="4105" max="4105" width="10.7109375" customWidth="1"/>
    <col min="4106" max="4106" width="12.42578125" customWidth="1"/>
    <col min="4107" max="4107" width="11.28515625" bestFit="1" customWidth="1"/>
    <col min="4108" max="4108" width="10.42578125" customWidth="1"/>
    <col min="4109" max="4109" width="13.28515625" customWidth="1"/>
    <col min="4111" max="4111" width="10.28515625" bestFit="1" customWidth="1"/>
    <col min="4353" max="4353" width="3" customWidth="1"/>
    <col min="4354" max="4354" width="7.7109375" customWidth="1"/>
    <col min="4355" max="4355" width="11.85546875" customWidth="1"/>
    <col min="4356" max="4356" width="3.5703125" customWidth="1"/>
    <col min="4357" max="4357" width="12.28515625" customWidth="1"/>
    <col min="4358" max="4359" width="11.28515625" customWidth="1"/>
    <col min="4360" max="4360" width="11.28515625" bestFit="1" customWidth="1"/>
    <col min="4361" max="4361" width="10.7109375" customWidth="1"/>
    <col min="4362" max="4362" width="12.42578125" customWidth="1"/>
    <col min="4363" max="4363" width="11.28515625" bestFit="1" customWidth="1"/>
    <col min="4364" max="4364" width="10.42578125" customWidth="1"/>
    <col min="4365" max="4365" width="13.28515625" customWidth="1"/>
    <col min="4367" max="4367" width="10.28515625" bestFit="1" customWidth="1"/>
    <col min="4609" max="4609" width="3" customWidth="1"/>
    <col min="4610" max="4610" width="7.7109375" customWidth="1"/>
    <col min="4611" max="4611" width="11.85546875" customWidth="1"/>
    <col min="4612" max="4612" width="3.5703125" customWidth="1"/>
    <col min="4613" max="4613" width="12.28515625" customWidth="1"/>
    <col min="4614" max="4615" width="11.28515625" customWidth="1"/>
    <col min="4616" max="4616" width="11.28515625" bestFit="1" customWidth="1"/>
    <col min="4617" max="4617" width="10.7109375" customWidth="1"/>
    <col min="4618" max="4618" width="12.42578125" customWidth="1"/>
    <col min="4619" max="4619" width="11.28515625" bestFit="1" customWidth="1"/>
    <col min="4620" max="4620" width="10.42578125" customWidth="1"/>
    <col min="4621" max="4621" width="13.28515625" customWidth="1"/>
    <col min="4623" max="4623" width="10.28515625" bestFit="1" customWidth="1"/>
    <col min="4865" max="4865" width="3" customWidth="1"/>
    <col min="4866" max="4866" width="7.7109375" customWidth="1"/>
    <col min="4867" max="4867" width="11.85546875" customWidth="1"/>
    <col min="4868" max="4868" width="3.5703125" customWidth="1"/>
    <col min="4869" max="4869" width="12.28515625" customWidth="1"/>
    <col min="4870" max="4871" width="11.28515625" customWidth="1"/>
    <col min="4872" max="4872" width="11.28515625" bestFit="1" customWidth="1"/>
    <col min="4873" max="4873" width="10.7109375" customWidth="1"/>
    <col min="4874" max="4874" width="12.42578125" customWidth="1"/>
    <col min="4875" max="4875" width="11.28515625" bestFit="1" customWidth="1"/>
    <col min="4876" max="4876" width="10.42578125" customWidth="1"/>
    <col min="4877" max="4877" width="13.28515625" customWidth="1"/>
    <col min="4879" max="4879" width="10.28515625" bestFit="1" customWidth="1"/>
    <col min="5121" max="5121" width="3" customWidth="1"/>
    <col min="5122" max="5122" width="7.7109375" customWidth="1"/>
    <col min="5123" max="5123" width="11.85546875" customWidth="1"/>
    <col min="5124" max="5124" width="3.5703125" customWidth="1"/>
    <col min="5125" max="5125" width="12.28515625" customWidth="1"/>
    <col min="5126" max="5127" width="11.28515625" customWidth="1"/>
    <col min="5128" max="5128" width="11.28515625" bestFit="1" customWidth="1"/>
    <col min="5129" max="5129" width="10.7109375" customWidth="1"/>
    <col min="5130" max="5130" width="12.42578125" customWidth="1"/>
    <col min="5131" max="5131" width="11.28515625" bestFit="1" customWidth="1"/>
    <col min="5132" max="5132" width="10.42578125" customWidth="1"/>
    <col min="5133" max="5133" width="13.28515625" customWidth="1"/>
    <col min="5135" max="5135" width="10.28515625" bestFit="1" customWidth="1"/>
    <col min="5377" max="5377" width="3" customWidth="1"/>
    <col min="5378" max="5378" width="7.7109375" customWidth="1"/>
    <col min="5379" max="5379" width="11.85546875" customWidth="1"/>
    <col min="5380" max="5380" width="3.5703125" customWidth="1"/>
    <col min="5381" max="5381" width="12.28515625" customWidth="1"/>
    <col min="5382" max="5383" width="11.28515625" customWidth="1"/>
    <col min="5384" max="5384" width="11.28515625" bestFit="1" customWidth="1"/>
    <col min="5385" max="5385" width="10.7109375" customWidth="1"/>
    <col min="5386" max="5386" width="12.42578125" customWidth="1"/>
    <col min="5387" max="5387" width="11.28515625" bestFit="1" customWidth="1"/>
    <col min="5388" max="5388" width="10.42578125" customWidth="1"/>
    <col min="5389" max="5389" width="13.28515625" customWidth="1"/>
    <col min="5391" max="5391" width="10.28515625" bestFit="1" customWidth="1"/>
    <col min="5633" max="5633" width="3" customWidth="1"/>
    <col min="5634" max="5634" width="7.7109375" customWidth="1"/>
    <col min="5635" max="5635" width="11.85546875" customWidth="1"/>
    <col min="5636" max="5636" width="3.5703125" customWidth="1"/>
    <col min="5637" max="5637" width="12.28515625" customWidth="1"/>
    <col min="5638" max="5639" width="11.28515625" customWidth="1"/>
    <col min="5640" max="5640" width="11.28515625" bestFit="1" customWidth="1"/>
    <col min="5641" max="5641" width="10.7109375" customWidth="1"/>
    <col min="5642" max="5642" width="12.42578125" customWidth="1"/>
    <col min="5643" max="5643" width="11.28515625" bestFit="1" customWidth="1"/>
    <col min="5644" max="5644" width="10.42578125" customWidth="1"/>
    <col min="5645" max="5645" width="13.28515625" customWidth="1"/>
    <col min="5647" max="5647" width="10.28515625" bestFit="1" customWidth="1"/>
    <col min="5889" max="5889" width="3" customWidth="1"/>
    <col min="5890" max="5890" width="7.7109375" customWidth="1"/>
    <col min="5891" max="5891" width="11.85546875" customWidth="1"/>
    <col min="5892" max="5892" width="3.5703125" customWidth="1"/>
    <col min="5893" max="5893" width="12.28515625" customWidth="1"/>
    <col min="5894" max="5895" width="11.28515625" customWidth="1"/>
    <col min="5896" max="5896" width="11.28515625" bestFit="1" customWidth="1"/>
    <col min="5897" max="5897" width="10.7109375" customWidth="1"/>
    <col min="5898" max="5898" width="12.42578125" customWidth="1"/>
    <col min="5899" max="5899" width="11.28515625" bestFit="1" customWidth="1"/>
    <col min="5900" max="5900" width="10.42578125" customWidth="1"/>
    <col min="5901" max="5901" width="13.28515625" customWidth="1"/>
    <col min="5903" max="5903" width="10.28515625" bestFit="1" customWidth="1"/>
    <col min="6145" max="6145" width="3" customWidth="1"/>
    <col min="6146" max="6146" width="7.7109375" customWidth="1"/>
    <col min="6147" max="6147" width="11.85546875" customWidth="1"/>
    <col min="6148" max="6148" width="3.5703125" customWidth="1"/>
    <col min="6149" max="6149" width="12.28515625" customWidth="1"/>
    <col min="6150" max="6151" width="11.28515625" customWidth="1"/>
    <col min="6152" max="6152" width="11.28515625" bestFit="1" customWidth="1"/>
    <col min="6153" max="6153" width="10.7109375" customWidth="1"/>
    <col min="6154" max="6154" width="12.42578125" customWidth="1"/>
    <col min="6155" max="6155" width="11.28515625" bestFit="1" customWidth="1"/>
    <col min="6156" max="6156" width="10.42578125" customWidth="1"/>
    <col min="6157" max="6157" width="13.28515625" customWidth="1"/>
    <col min="6159" max="6159" width="10.28515625" bestFit="1" customWidth="1"/>
    <col min="6401" max="6401" width="3" customWidth="1"/>
    <col min="6402" max="6402" width="7.7109375" customWidth="1"/>
    <col min="6403" max="6403" width="11.85546875" customWidth="1"/>
    <col min="6404" max="6404" width="3.5703125" customWidth="1"/>
    <col min="6405" max="6405" width="12.28515625" customWidth="1"/>
    <col min="6406" max="6407" width="11.28515625" customWidth="1"/>
    <col min="6408" max="6408" width="11.28515625" bestFit="1" customWidth="1"/>
    <col min="6409" max="6409" width="10.7109375" customWidth="1"/>
    <col min="6410" max="6410" width="12.42578125" customWidth="1"/>
    <col min="6411" max="6411" width="11.28515625" bestFit="1" customWidth="1"/>
    <col min="6412" max="6412" width="10.42578125" customWidth="1"/>
    <col min="6413" max="6413" width="13.28515625" customWidth="1"/>
    <col min="6415" max="6415" width="10.28515625" bestFit="1" customWidth="1"/>
    <col min="6657" max="6657" width="3" customWidth="1"/>
    <col min="6658" max="6658" width="7.7109375" customWidth="1"/>
    <col min="6659" max="6659" width="11.85546875" customWidth="1"/>
    <col min="6660" max="6660" width="3.5703125" customWidth="1"/>
    <col min="6661" max="6661" width="12.28515625" customWidth="1"/>
    <col min="6662" max="6663" width="11.28515625" customWidth="1"/>
    <col min="6664" max="6664" width="11.28515625" bestFit="1" customWidth="1"/>
    <col min="6665" max="6665" width="10.7109375" customWidth="1"/>
    <col min="6666" max="6666" width="12.42578125" customWidth="1"/>
    <col min="6667" max="6667" width="11.28515625" bestFit="1" customWidth="1"/>
    <col min="6668" max="6668" width="10.42578125" customWidth="1"/>
    <col min="6669" max="6669" width="13.28515625" customWidth="1"/>
    <col min="6671" max="6671" width="10.28515625" bestFit="1" customWidth="1"/>
    <col min="6913" max="6913" width="3" customWidth="1"/>
    <col min="6914" max="6914" width="7.7109375" customWidth="1"/>
    <col min="6915" max="6915" width="11.85546875" customWidth="1"/>
    <col min="6916" max="6916" width="3.5703125" customWidth="1"/>
    <col min="6917" max="6917" width="12.28515625" customWidth="1"/>
    <col min="6918" max="6919" width="11.28515625" customWidth="1"/>
    <col min="6920" max="6920" width="11.28515625" bestFit="1" customWidth="1"/>
    <col min="6921" max="6921" width="10.7109375" customWidth="1"/>
    <col min="6922" max="6922" width="12.42578125" customWidth="1"/>
    <col min="6923" max="6923" width="11.28515625" bestFit="1" customWidth="1"/>
    <col min="6924" max="6924" width="10.42578125" customWidth="1"/>
    <col min="6925" max="6925" width="13.28515625" customWidth="1"/>
    <col min="6927" max="6927" width="10.28515625" bestFit="1" customWidth="1"/>
    <col min="7169" max="7169" width="3" customWidth="1"/>
    <col min="7170" max="7170" width="7.7109375" customWidth="1"/>
    <col min="7171" max="7171" width="11.85546875" customWidth="1"/>
    <col min="7172" max="7172" width="3.5703125" customWidth="1"/>
    <col min="7173" max="7173" width="12.28515625" customWidth="1"/>
    <col min="7174" max="7175" width="11.28515625" customWidth="1"/>
    <col min="7176" max="7176" width="11.28515625" bestFit="1" customWidth="1"/>
    <col min="7177" max="7177" width="10.7109375" customWidth="1"/>
    <col min="7178" max="7178" width="12.42578125" customWidth="1"/>
    <col min="7179" max="7179" width="11.28515625" bestFit="1" customWidth="1"/>
    <col min="7180" max="7180" width="10.42578125" customWidth="1"/>
    <col min="7181" max="7181" width="13.28515625" customWidth="1"/>
    <col min="7183" max="7183" width="10.28515625" bestFit="1" customWidth="1"/>
    <col min="7425" max="7425" width="3" customWidth="1"/>
    <col min="7426" max="7426" width="7.7109375" customWidth="1"/>
    <col min="7427" max="7427" width="11.85546875" customWidth="1"/>
    <col min="7428" max="7428" width="3.5703125" customWidth="1"/>
    <col min="7429" max="7429" width="12.28515625" customWidth="1"/>
    <col min="7430" max="7431" width="11.28515625" customWidth="1"/>
    <col min="7432" max="7432" width="11.28515625" bestFit="1" customWidth="1"/>
    <col min="7433" max="7433" width="10.7109375" customWidth="1"/>
    <col min="7434" max="7434" width="12.42578125" customWidth="1"/>
    <col min="7435" max="7435" width="11.28515625" bestFit="1" customWidth="1"/>
    <col min="7436" max="7436" width="10.42578125" customWidth="1"/>
    <col min="7437" max="7437" width="13.28515625" customWidth="1"/>
    <col min="7439" max="7439" width="10.28515625" bestFit="1" customWidth="1"/>
    <col min="7681" max="7681" width="3" customWidth="1"/>
    <col min="7682" max="7682" width="7.7109375" customWidth="1"/>
    <col min="7683" max="7683" width="11.85546875" customWidth="1"/>
    <col min="7684" max="7684" width="3.5703125" customWidth="1"/>
    <col min="7685" max="7685" width="12.28515625" customWidth="1"/>
    <col min="7686" max="7687" width="11.28515625" customWidth="1"/>
    <col min="7688" max="7688" width="11.28515625" bestFit="1" customWidth="1"/>
    <col min="7689" max="7689" width="10.7109375" customWidth="1"/>
    <col min="7690" max="7690" width="12.42578125" customWidth="1"/>
    <col min="7691" max="7691" width="11.28515625" bestFit="1" customWidth="1"/>
    <col min="7692" max="7692" width="10.42578125" customWidth="1"/>
    <col min="7693" max="7693" width="13.28515625" customWidth="1"/>
    <col min="7695" max="7695" width="10.28515625" bestFit="1" customWidth="1"/>
    <col min="7937" max="7937" width="3" customWidth="1"/>
    <col min="7938" max="7938" width="7.7109375" customWidth="1"/>
    <col min="7939" max="7939" width="11.85546875" customWidth="1"/>
    <col min="7940" max="7940" width="3.5703125" customWidth="1"/>
    <col min="7941" max="7941" width="12.28515625" customWidth="1"/>
    <col min="7942" max="7943" width="11.28515625" customWidth="1"/>
    <col min="7944" max="7944" width="11.28515625" bestFit="1" customWidth="1"/>
    <col min="7945" max="7945" width="10.7109375" customWidth="1"/>
    <col min="7946" max="7946" width="12.42578125" customWidth="1"/>
    <col min="7947" max="7947" width="11.28515625" bestFit="1" customWidth="1"/>
    <col min="7948" max="7948" width="10.42578125" customWidth="1"/>
    <col min="7949" max="7949" width="13.28515625" customWidth="1"/>
    <col min="7951" max="7951" width="10.28515625" bestFit="1" customWidth="1"/>
    <col min="8193" max="8193" width="3" customWidth="1"/>
    <col min="8194" max="8194" width="7.7109375" customWidth="1"/>
    <col min="8195" max="8195" width="11.85546875" customWidth="1"/>
    <col min="8196" max="8196" width="3.5703125" customWidth="1"/>
    <col min="8197" max="8197" width="12.28515625" customWidth="1"/>
    <col min="8198" max="8199" width="11.28515625" customWidth="1"/>
    <col min="8200" max="8200" width="11.28515625" bestFit="1" customWidth="1"/>
    <col min="8201" max="8201" width="10.7109375" customWidth="1"/>
    <col min="8202" max="8202" width="12.42578125" customWidth="1"/>
    <col min="8203" max="8203" width="11.28515625" bestFit="1" customWidth="1"/>
    <col min="8204" max="8204" width="10.42578125" customWidth="1"/>
    <col min="8205" max="8205" width="13.28515625" customWidth="1"/>
    <col min="8207" max="8207" width="10.28515625" bestFit="1" customWidth="1"/>
    <col min="8449" max="8449" width="3" customWidth="1"/>
    <col min="8450" max="8450" width="7.7109375" customWidth="1"/>
    <col min="8451" max="8451" width="11.85546875" customWidth="1"/>
    <col min="8452" max="8452" width="3.5703125" customWidth="1"/>
    <col min="8453" max="8453" width="12.28515625" customWidth="1"/>
    <col min="8454" max="8455" width="11.28515625" customWidth="1"/>
    <col min="8456" max="8456" width="11.28515625" bestFit="1" customWidth="1"/>
    <col min="8457" max="8457" width="10.7109375" customWidth="1"/>
    <col min="8458" max="8458" width="12.42578125" customWidth="1"/>
    <col min="8459" max="8459" width="11.28515625" bestFit="1" customWidth="1"/>
    <col min="8460" max="8460" width="10.42578125" customWidth="1"/>
    <col min="8461" max="8461" width="13.28515625" customWidth="1"/>
    <col min="8463" max="8463" width="10.28515625" bestFit="1" customWidth="1"/>
    <col min="8705" max="8705" width="3" customWidth="1"/>
    <col min="8706" max="8706" width="7.7109375" customWidth="1"/>
    <col min="8707" max="8707" width="11.85546875" customWidth="1"/>
    <col min="8708" max="8708" width="3.5703125" customWidth="1"/>
    <col min="8709" max="8709" width="12.28515625" customWidth="1"/>
    <col min="8710" max="8711" width="11.28515625" customWidth="1"/>
    <col min="8712" max="8712" width="11.28515625" bestFit="1" customWidth="1"/>
    <col min="8713" max="8713" width="10.7109375" customWidth="1"/>
    <col min="8714" max="8714" width="12.42578125" customWidth="1"/>
    <col min="8715" max="8715" width="11.28515625" bestFit="1" customWidth="1"/>
    <col min="8716" max="8716" width="10.42578125" customWidth="1"/>
    <col min="8717" max="8717" width="13.28515625" customWidth="1"/>
    <col min="8719" max="8719" width="10.28515625" bestFit="1" customWidth="1"/>
    <col min="8961" max="8961" width="3" customWidth="1"/>
    <col min="8962" max="8962" width="7.7109375" customWidth="1"/>
    <col min="8963" max="8963" width="11.85546875" customWidth="1"/>
    <col min="8964" max="8964" width="3.5703125" customWidth="1"/>
    <col min="8965" max="8965" width="12.28515625" customWidth="1"/>
    <col min="8966" max="8967" width="11.28515625" customWidth="1"/>
    <col min="8968" max="8968" width="11.28515625" bestFit="1" customWidth="1"/>
    <col min="8969" max="8969" width="10.7109375" customWidth="1"/>
    <col min="8970" max="8970" width="12.42578125" customWidth="1"/>
    <col min="8971" max="8971" width="11.28515625" bestFit="1" customWidth="1"/>
    <col min="8972" max="8972" width="10.42578125" customWidth="1"/>
    <col min="8973" max="8973" width="13.28515625" customWidth="1"/>
    <col min="8975" max="8975" width="10.28515625" bestFit="1" customWidth="1"/>
    <col min="9217" max="9217" width="3" customWidth="1"/>
    <col min="9218" max="9218" width="7.7109375" customWidth="1"/>
    <col min="9219" max="9219" width="11.85546875" customWidth="1"/>
    <col min="9220" max="9220" width="3.5703125" customWidth="1"/>
    <col min="9221" max="9221" width="12.28515625" customWidth="1"/>
    <col min="9222" max="9223" width="11.28515625" customWidth="1"/>
    <col min="9224" max="9224" width="11.28515625" bestFit="1" customWidth="1"/>
    <col min="9225" max="9225" width="10.7109375" customWidth="1"/>
    <col min="9226" max="9226" width="12.42578125" customWidth="1"/>
    <col min="9227" max="9227" width="11.28515625" bestFit="1" customWidth="1"/>
    <col min="9228" max="9228" width="10.42578125" customWidth="1"/>
    <col min="9229" max="9229" width="13.28515625" customWidth="1"/>
    <col min="9231" max="9231" width="10.28515625" bestFit="1" customWidth="1"/>
    <col min="9473" max="9473" width="3" customWidth="1"/>
    <col min="9474" max="9474" width="7.7109375" customWidth="1"/>
    <col min="9475" max="9475" width="11.85546875" customWidth="1"/>
    <col min="9476" max="9476" width="3.5703125" customWidth="1"/>
    <col min="9477" max="9477" width="12.28515625" customWidth="1"/>
    <col min="9478" max="9479" width="11.28515625" customWidth="1"/>
    <col min="9480" max="9480" width="11.28515625" bestFit="1" customWidth="1"/>
    <col min="9481" max="9481" width="10.7109375" customWidth="1"/>
    <col min="9482" max="9482" width="12.42578125" customWidth="1"/>
    <col min="9483" max="9483" width="11.28515625" bestFit="1" customWidth="1"/>
    <col min="9484" max="9484" width="10.42578125" customWidth="1"/>
    <col min="9485" max="9485" width="13.28515625" customWidth="1"/>
    <col min="9487" max="9487" width="10.28515625" bestFit="1" customWidth="1"/>
    <col min="9729" max="9729" width="3" customWidth="1"/>
    <col min="9730" max="9730" width="7.7109375" customWidth="1"/>
    <col min="9731" max="9731" width="11.85546875" customWidth="1"/>
    <col min="9732" max="9732" width="3.5703125" customWidth="1"/>
    <col min="9733" max="9733" width="12.28515625" customWidth="1"/>
    <col min="9734" max="9735" width="11.28515625" customWidth="1"/>
    <col min="9736" max="9736" width="11.28515625" bestFit="1" customWidth="1"/>
    <col min="9737" max="9737" width="10.7109375" customWidth="1"/>
    <col min="9738" max="9738" width="12.42578125" customWidth="1"/>
    <col min="9739" max="9739" width="11.28515625" bestFit="1" customWidth="1"/>
    <col min="9740" max="9740" width="10.42578125" customWidth="1"/>
    <col min="9741" max="9741" width="13.28515625" customWidth="1"/>
    <col min="9743" max="9743" width="10.28515625" bestFit="1" customWidth="1"/>
    <col min="9985" max="9985" width="3" customWidth="1"/>
    <col min="9986" max="9986" width="7.7109375" customWidth="1"/>
    <col min="9987" max="9987" width="11.85546875" customWidth="1"/>
    <col min="9988" max="9988" width="3.5703125" customWidth="1"/>
    <col min="9989" max="9989" width="12.28515625" customWidth="1"/>
    <col min="9990" max="9991" width="11.28515625" customWidth="1"/>
    <col min="9992" max="9992" width="11.28515625" bestFit="1" customWidth="1"/>
    <col min="9993" max="9993" width="10.7109375" customWidth="1"/>
    <col min="9994" max="9994" width="12.42578125" customWidth="1"/>
    <col min="9995" max="9995" width="11.28515625" bestFit="1" customWidth="1"/>
    <col min="9996" max="9996" width="10.42578125" customWidth="1"/>
    <col min="9997" max="9997" width="13.28515625" customWidth="1"/>
    <col min="9999" max="9999" width="10.28515625" bestFit="1" customWidth="1"/>
    <col min="10241" max="10241" width="3" customWidth="1"/>
    <col min="10242" max="10242" width="7.7109375" customWidth="1"/>
    <col min="10243" max="10243" width="11.85546875" customWidth="1"/>
    <col min="10244" max="10244" width="3.5703125" customWidth="1"/>
    <col min="10245" max="10245" width="12.28515625" customWidth="1"/>
    <col min="10246" max="10247" width="11.28515625" customWidth="1"/>
    <col min="10248" max="10248" width="11.28515625" bestFit="1" customWidth="1"/>
    <col min="10249" max="10249" width="10.7109375" customWidth="1"/>
    <col min="10250" max="10250" width="12.42578125" customWidth="1"/>
    <col min="10251" max="10251" width="11.28515625" bestFit="1" customWidth="1"/>
    <col min="10252" max="10252" width="10.42578125" customWidth="1"/>
    <col min="10253" max="10253" width="13.28515625" customWidth="1"/>
    <col min="10255" max="10255" width="10.28515625" bestFit="1" customWidth="1"/>
    <col min="10497" max="10497" width="3" customWidth="1"/>
    <col min="10498" max="10498" width="7.7109375" customWidth="1"/>
    <col min="10499" max="10499" width="11.85546875" customWidth="1"/>
    <col min="10500" max="10500" width="3.5703125" customWidth="1"/>
    <col min="10501" max="10501" width="12.28515625" customWidth="1"/>
    <col min="10502" max="10503" width="11.28515625" customWidth="1"/>
    <col min="10504" max="10504" width="11.28515625" bestFit="1" customWidth="1"/>
    <col min="10505" max="10505" width="10.7109375" customWidth="1"/>
    <col min="10506" max="10506" width="12.42578125" customWidth="1"/>
    <col min="10507" max="10507" width="11.28515625" bestFit="1" customWidth="1"/>
    <col min="10508" max="10508" width="10.42578125" customWidth="1"/>
    <col min="10509" max="10509" width="13.28515625" customWidth="1"/>
    <col min="10511" max="10511" width="10.28515625" bestFit="1" customWidth="1"/>
    <col min="10753" max="10753" width="3" customWidth="1"/>
    <col min="10754" max="10754" width="7.7109375" customWidth="1"/>
    <col min="10755" max="10755" width="11.85546875" customWidth="1"/>
    <col min="10756" max="10756" width="3.5703125" customWidth="1"/>
    <col min="10757" max="10757" width="12.28515625" customWidth="1"/>
    <col min="10758" max="10759" width="11.28515625" customWidth="1"/>
    <col min="10760" max="10760" width="11.28515625" bestFit="1" customWidth="1"/>
    <col min="10761" max="10761" width="10.7109375" customWidth="1"/>
    <col min="10762" max="10762" width="12.42578125" customWidth="1"/>
    <col min="10763" max="10763" width="11.28515625" bestFit="1" customWidth="1"/>
    <col min="10764" max="10764" width="10.42578125" customWidth="1"/>
    <col min="10765" max="10765" width="13.28515625" customWidth="1"/>
    <col min="10767" max="10767" width="10.28515625" bestFit="1" customWidth="1"/>
    <col min="11009" max="11009" width="3" customWidth="1"/>
    <col min="11010" max="11010" width="7.7109375" customWidth="1"/>
    <col min="11011" max="11011" width="11.85546875" customWidth="1"/>
    <col min="11012" max="11012" width="3.5703125" customWidth="1"/>
    <col min="11013" max="11013" width="12.28515625" customWidth="1"/>
    <col min="11014" max="11015" width="11.28515625" customWidth="1"/>
    <col min="11016" max="11016" width="11.28515625" bestFit="1" customWidth="1"/>
    <col min="11017" max="11017" width="10.7109375" customWidth="1"/>
    <col min="11018" max="11018" width="12.42578125" customWidth="1"/>
    <col min="11019" max="11019" width="11.28515625" bestFit="1" customWidth="1"/>
    <col min="11020" max="11020" width="10.42578125" customWidth="1"/>
    <col min="11021" max="11021" width="13.28515625" customWidth="1"/>
    <col min="11023" max="11023" width="10.28515625" bestFit="1" customWidth="1"/>
    <col min="11265" max="11265" width="3" customWidth="1"/>
    <col min="11266" max="11266" width="7.7109375" customWidth="1"/>
    <col min="11267" max="11267" width="11.85546875" customWidth="1"/>
    <col min="11268" max="11268" width="3.5703125" customWidth="1"/>
    <col min="11269" max="11269" width="12.28515625" customWidth="1"/>
    <col min="11270" max="11271" width="11.28515625" customWidth="1"/>
    <col min="11272" max="11272" width="11.28515625" bestFit="1" customWidth="1"/>
    <col min="11273" max="11273" width="10.7109375" customWidth="1"/>
    <col min="11274" max="11274" width="12.42578125" customWidth="1"/>
    <col min="11275" max="11275" width="11.28515625" bestFit="1" customWidth="1"/>
    <col min="11276" max="11276" width="10.42578125" customWidth="1"/>
    <col min="11277" max="11277" width="13.28515625" customWidth="1"/>
    <col min="11279" max="11279" width="10.28515625" bestFit="1" customWidth="1"/>
    <col min="11521" max="11521" width="3" customWidth="1"/>
    <col min="11522" max="11522" width="7.7109375" customWidth="1"/>
    <col min="11523" max="11523" width="11.85546875" customWidth="1"/>
    <col min="11524" max="11524" width="3.5703125" customWidth="1"/>
    <col min="11525" max="11525" width="12.28515625" customWidth="1"/>
    <col min="11526" max="11527" width="11.28515625" customWidth="1"/>
    <col min="11528" max="11528" width="11.28515625" bestFit="1" customWidth="1"/>
    <col min="11529" max="11529" width="10.7109375" customWidth="1"/>
    <col min="11530" max="11530" width="12.42578125" customWidth="1"/>
    <col min="11531" max="11531" width="11.28515625" bestFit="1" customWidth="1"/>
    <col min="11532" max="11532" width="10.42578125" customWidth="1"/>
    <col min="11533" max="11533" width="13.28515625" customWidth="1"/>
    <col min="11535" max="11535" width="10.28515625" bestFit="1" customWidth="1"/>
    <col min="11777" max="11777" width="3" customWidth="1"/>
    <col min="11778" max="11778" width="7.7109375" customWidth="1"/>
    <col min="11779" max="11779" width="11.85546875" customWidth="1"/>
    <col min="11780" max="11780" width="3.5703125" customWidth="1"/>
    <col min="11781" max="11781" width="12.28515625" customWidth="1"/>
    <col min="11782" max="11783" width="11.28515625" customWidth="1"/>
    <col min="11784" max="11784" width="11.28515625" bestFit="1" customWidth="1"/>
    <col min="11785" max="11785" width="10.7109375" customWidth="1"/>
    <col min="11786" max="11786" width="12.42578125" customWidth="1"/>
    <col min="11787" max="11787" width="11.28515625" bestFit="1" customWidth="1"/>
    <col min="11788" max="11788" width="10.42578125" customWidth="1"/>
    <col min="11789" max="11789" width="13.28515625" customWidth="1"/>
    <col min="11791" max="11791" width="10.28515625" bestFit="1" customWidth="1"/>
    <col min="12033" max="12033" width="3" customWidth="1"/>
    <col min="12034" max="12034" width="7.7109375" customWidth="1"/>
    <col min="12035" max="12035" width="11.85546875" customWidth="1"/>
    <col min="12036" max="12036" width="3.5703125" customWidth="1"/>
    <col min="12037" max="12037" width="12.28515625" customWidth="1"/>
    <col min="12038" max="12039" width="11.28515625" customWidth="1"/>
    <col min="12040" max="12040" width="11.28515625" bestFit="1" customWidth="1"/>
    <col min="12041" max="12041" width="10.7109375" customWidth="1"/>
    <col min="12042" max="12042" width="12.42578125" customWidth="1"/>
    <col min="12043" max="12043" width="11.28515625" bestFit="1" customWidth="1"/>
    <col min="12044" max="12044" width="10.42578125" customWidth="1"/>
    <col min="12045" max="12045" width="13.28515625" customWidth="1"/>
    <col min="12047" max="12047" width="10.28515625" bestFit="1" customWidth="1"/>
    <col min="12289" max="12289" width="3" customWidth="1"/>
    <col min="12290" max="12290" width="7.7109375" customWidth="1"/>
    <col min="12291" max="12291" width="11.85546875" customWidth="1"/>
    <col min="12292" max="12292" width="3.5703125" customWidth="1"/>
    <col min="12293" max="12293" width="12.28515625" customWidth="1"/>
    <col min="12294" max="12295" width="11.28515625" customWidth="1"/>
    <col min="12296" max="12296" width="11.28515625" bestFit="1" customWidth="1"/>
    <col min="12297" max="12297" width="10.7109375" customWidth="1"/>
    <col min="12298" max="12298" width="12.42578125" customWidth="1"/>
    <col min="12299" max="12299" width="11.28515625" bestFit="1" customWidth="1"/>
    <col min="12300" max="12300" width="10.42578125" customWidth="1"/>
    <col min="12301" max="12301" width="13.28515625" customWidth="1"/>
    <col min="12303" max="12303" width="10.28515625" bestFit="1" customWidth="1"/>
    <col min="12545" max="12545" width="3" customWidth="1"/>
    <col min="12546" max="12546" width="7.7109375" customWidth="1"/>
    <col min="12547" max="12547" width="11.85546875" customWidth="1"/>
    <col min="12548" max="12548" width="3.5703125" customWidth="1"/>
    <col min="12549" max="12549" width="12.28515625" customWidth="1"/>
    <col min="12550" max="12551" width="11.28515625" customWidth="1"/>
    <col min="12552" max="12552" width="11.28515625" bestFit="1" customWidth="1"/>
    <col min="12553" max="12553" width="10.7109375" customWidth="1"/>
    <col min="12554" max="12554" width="12.42578125" customWidth="1"/>
    <col min="12555" max="12555" width="11.28515625" bestFit="1" customWidth="1"/>
    <col min="12556" max="12556" width="10.42578125" customWidth="1"/>
    <col min="12557" max="12557" width="13.28515625" customWidth="1"/>
    <col min="12559" max="12559" width="10.28515625" bestFit="1" customWidth="1"/>
    <col min="12801" max="12801" width="3" customWidth="1"/>
    <col min="12802" max="12802" width="7.7109375" customWidth="1"/>
    <col min="12803" max="12803" width="11.85546875" customWidth="1"/>
    <col min="12804" max="12804" width="3.5703125" customWidth="1"/>
    <col min="12805" max="12805" width="12.28515625" customWidth="1"/>
    <col min="12806" max="12807" width="11.28515625" customWidth="1"/>
    <col min="12808" max="12808" width="11.28515625" bestFit="1" customWidth="1"/>
    <col min="12809" max="12809" width="10.7109375" customWidth="1"/>
    <col min="12810" max="12810" width="12.42578125" customWidth="1"/>
    <col min="12811" max="12811" width="11.28515625" bestFit="1" customWidth="1"/>
    <col min="12812" max="12812" width="10.42578125" customWidth="1"/>
    <col min="12813" max="12813" width="13.28515625" customWidth="1"/>
    <col min="12815" max="12815" width="10.28515625" bestFit="1" customWidth="1"/>
    <col min="13057" max="13057" width="3" customWidth="1"/>
    <col min="13058" max="13058" width="7.7109375" customWidth="1"/>
    <col min="13059" max="13059" width="11.85546875" customWidth="1"/>
    <col min="13060" max="13060" width="3.5703125" customWidth="1"/>
    <col min="13061" max="13061" width="12.28515625" customWidth="1"/>
    <col min="13062" max="13063" width="11.28515625" customWidth="1"/>
    <col min="13064" max="13064" width="11.28515625" bestFit="1" customWidth="1"/>
    <col min="13065" max="13065" width="10.7109375" customWidth="1"/>
    <col min="13066" max="13066" width="12.42578125" customWidth="1"/>
    <col min="13067" max="13067" width="11.28515625" bestFit="1" customWidth="1"/>
    <col min="13068" max="13068" width="10.42578125" customWidth="1"/>
    <col min="13069" max="13069" width="13.28515625" customWidth="1"/>
    <col min="13071" max="13071" width="10.28515625" bestFit="1" customWidth="1"/>
    <col min="13313" max="13313" width="3" customWidth="1"/>
    <col min="13314" max="13314" width="7.7109375" customWidth="1"/>
    <col min="13315" max="13315" width="11.85546875" customWidth="1"/>
    <col min="13316" max="13316" width="3.5703125" customWidth="1"/>
    <col min="13317" max="13317" width="12.28515625" customWidth="1"/>
    <col min="13318" max="13319" width="11.28515625" customWidth="1"/>
    <col min="13320" max="13320" width="11.28515625" bestFit="1" customWidth="1"/>
    <col min="13321" max="13321" width="10.7109375" customWidth="1"/>
    <col min="13322" max="13322" width="12.42578125" customWidth="1"/>
    <col min="13323" max="13323" width="11.28515625" bestFit="1" customWidth="1"/>
    <col min="13324" max="13324" width="10.42578125" customWidth="1"/>
    <col min="13325" max="13325" width="13.28515625" customWidth="1"/>
    <col min="13327" max="13327" width="10.28515625" bestFit="1" customWidth="1"/>
    <col min="13569" max="13569" width="3" customWidth="1"/>
    <col min="13570" max="13570" width="7.7109375" customWidth="1"/>
    <col min="13571" max="13571" width="11.85546875" customWidth="1"/>
    <col min="13572" max="13572" width="3.5703125" customWidth="1"/>
    <col min="13573" max="13573" width="12.28515625" customWidth="1"/>
    <col min="13574" max="13575" width="11.28515625" customWidth="1"/>
    <col min="13576" max="13576" width="11.28515625" bestFit="1" customWidth="1"/>
    <col min="13577" max="13577" width="10.7109375" customWidth="1"/>
    <col min="13578" max="13578" width="12.42578125" customWidth="1"/>
    <col min="13579" max="13579" width="11.28515625" bestFit="1" customWidth="1"/>
    <col min="13580" max="13580" width="10.42578125" customWidth="1"/>
    <col min="13581" max="13581" width="13.28515625" customWidth="1"/>
    <col min="13583" max="13583" width="10.28515625" bestFit="1" customWidth="1"/>
    <col min="13825" max="13825" width="3" customWidth="1"/>
    <col min="13826" max="13826" width="7.7109375" customWidth="1"/>
    <col min="13827" max="13827" width="11.85546875" customWidth="1"/>
    <col min="13828" max="13828" width="3.5703125" customWidth="1"/>
    <col min="13829" max="13829" width="12.28515625" customWidth="1"/>
    <col min="13830" max="13831" width="11.28515625" customWidth="1"/>
    <col min="13832" max="13832" width="11.28515625" bestFit="1" customWidth="1"/>
    <col min="13833" max="13833" width="10.7109375" customWidth="1"/>
    <col min="13834" max="13834" width="12.42578125" customWidth="1"/>
    <col min="13835" max="13835" width="11.28515625" bestFit="1" customWidth="1"/>
    <col min="13836" max="13836" width="10.42578125" customWidth="1"/>
    <col min="13837" max="13837" width="13.28515625" customWidth="1"/>
    <col min="13839" max="13839" width="10.28515625" bestFit="1" customWidth="1"/>
    <col min="14081" max="14081" width="3" customWidth="1"/>
    <col min="14082" max="14082" width="7.7109375" customWidth="1"/>
    <col min="14083" max="14083" width="11.85546875" customWidth="1"/>
    <col min="14084" max="14084" width="3.5703125" customWidth="1"/>
    <col min="14085" max="14085" width="12.28515625" customWidth="1"/>
    <col min="14086" max="14087" width="11.28515625" customWidth="1"/>
    <col min="14088" max="14088" width="11.28515625" bestFit="1" customWidth="1"/>
    <col min="14089" max="14089" width="10.7109375" customWidth="1"/>
    <col min="14090" max="14090" width="12.42578125" customWidth="1"/>
    <col min="14091" max="14091" width="11.28515625" bestFit="1" customWidth="1"/>
    <col min="14092" max="14092" width="10.42578125" customWidth="1"/>
    <col min="14093" max="14093" width="13.28515625" customWidth="1"/>
    <col min="14095" max="14095" width="10.28515625" bestFit="1" customWidth="1"/>
    <col min="14337" max="14337" width="3" customWidth="1"/>
    <col min="14338" max="14338" width="7.7109375" customWidth="1"/>
    <col min="14339" max="14339" width="11.85546875" customWidth="1"/>
    <col min="14340" max="14340" width="3.5703125" customWidth="1"/>
    <col min="14341" max="14341" width="12.28515625" customWidth="1"/>
    <col min="14342" max="14343" width="11.28515625" customWidth="1"/>
    <col min="14344" max="14344" width="11.28515625" bestFit="1" customWidth="1"/>
    <col min="14345" max="14345" width="10.7109375" customWidth="1"/>
    <col min="14346" max="14346" width="12.42578125" customWidth="1"/>
    <col min="14347" max="14347" width="11.28515625" bestFit="1" customWidth="1"/>
    <col min="14348" max="14348" width="10.42578125" customWidth="1"/>
    <col min="14349" max="14349" width="13.28515625" customWidth="1"/>
    <col min="14351" max="14351" width="10.28515625" bestFit="1" customWidth="1"/>
    <col min="14593" max="14593" width="3" customWidth="1"/>
    <col min="14594" max="14594" width="7.7109375" customWidth="1"/>
    <col min="14595" max="14595" width="11.85546875" customWidth="1"/>
    <col min="14596" max="14596" width="3.5703125" customWidth="1"/>
    <col min="14597" max="14597" width="12.28515625" customWidth="1"/>
    <col min="14598" max="14599" width="11.28515625" customWidth="1"/>
    <col min="14600" max="14600" width="11.28515625" bestFit="1" customWidth="1"/>
    <col min="14601" max="14601" width="10.7109375" customWidth="1"/>
    <col min="14602" max="14602" width="12.42578125" customWidth="1"/>
    <col min="14603" max="14603" width="11.28515625" bestFit="1" customWidth="1"/>
    <col min="14604" max="14604" width="10.42578125" customWidth="1"/>
    <col min="14605" max="14605" width="13.28515625" customWidth="1"/>
    <col min="14607" max="14607" width="10.28515625" bestFit="1" customWidth="1"/>
    <col min="14849" max="14849" width="3" customWidth="1"/>
    <col min="14850" max="14850" width="7.7109375" customWidth="1"/>
    <col min="14851" max="14851" width="11.85546875" customWidth="1"/>
    <col min="14852" max="14852" width="3.5703125" customWidth="1"/>
    <col min="14853" max="14853" width="12.28515625" customWidth="1"/>
    <col min="14854" max="14855" width="11.28515625" customWidth="1"/>
    <col min="14856" max="14856" width="11.28515625" bestFit="1" customWidth="1"/>
    <col min="14857" max="14857" width="10.7109375" customWidth="1"/>
    <col min="14858" max="14858" width="12.42578125" customWidth="1"/>
    <col min="14859" max="14859" width="11.28515625" bestFit="1" customWidth="1"/>
    <col min="14860" max="14860" width="10.42578125" customWidth="1"/>
    <col min="14861" max="14861" width="13.28515625" customWidth="1"/>
    <col min="14863" max="14863" width="10.28515625" bestFit="1" customWidth="1"/>
    <col min="15105" max="15105" width="3" customWidth="1"/>
    <col min="15106" max="15106" width="7.7109375" customWidth="1"/>
    <col min="15107" max="15107" width="11.85546875" customWidth="1"/>
    <col min="15108" max="15108" width="3.5703125" customWidth="1"/>
    <col min="15109" max="15109" width="12.28515625" customWidth="1"/>
    <col min="15110" max="15111" width="11.28515625" customWidth="1"/>
    <col min="15112" max="15112" width="11.28515625" bestFit="1" customWidth="1"/>
    <col min="15113" max="15113" width="10.7109375" customWidth="1"/>
    <col min="15114" max="15114" width="12.42578125" customWidth="1"/>
    <col min="15115" max="15115" width="11.28515625" bestFit="1" customWidth="1"/>
    <col min="15116" max="15116" width="10.42578125" customWidth="1"/>
    <col min="15117" max="15117" width="13.28515625" customWidth="1"/>
    <col min="15119" max="15119" width="10.28515625" bestFit="1" customWidth="1"/>
    <col min="15361" max="15361" width="3" customWidth="1"/>
    <col min="15362" max="15362" width="7.7109375" customWidth="1"/>
    <col min="15363" max="15363" width="11.85546875" customWidth="1"/>
    <col min="15364" max="15364" width="3.5703125" customWidth="1"/>
    <col min="15365" max="15365" width="12.28515625" customWidth="1"/>
    <col min="15366" max="15367" width="11.28515625" customWidth="1"/>
    <col min="15368" max="15368" width="11.28515625" bestFit="1" customWidth="1"/>
    <col min="15369" max="15369" width="10.7109375" customWidth="1"/>
    <col min="15370" max="15370" width="12.42578125" customWidth="1"/>
    <col min="15371" max="15371" width="11.28515625" bestFit="1" customWidth="1"/>
    <col min="15372" max="15372" width="10.42578125" customWidth="1"/>
    <col min="15373" max="15373" width="13.28515625" customWidth="1"/>
    <col min="15375" max="15375" width="10.28515625" bestFit="1" customWidth="1"/>
    <col min="15617" max="15617" width="3" customWidth="1"/>
    <col min="15618" max="15618" width="7.7109375" customWidth="1"/>
    <col min="15619" max="15619" width="11.85546875" customWidth="1"/>
    <col min="15620" max="15620" width="3.5703125" customWidth="1"/>
    <col min="15621" max="15621" width="12.28515625" customWidth="1"/>
    <col min="15622" max="15623" width="11.28515625" customWidth="1"/>
    <col min="15624" max="15624" width="11.28515625" bestFit="1" customWidth="1"/>
    <col min="15625" max="15625" width="10.7109375" customWidth="1"/>
    <col min="15626" max="15626" width="12.42578125" customWidth="1"/>
    <col min="15627" max="15627" width="11.28515625" bestFit="1" customWidth="1"/>
    <col min="15628" max="15628" width="10.42578125" customWidth="1"/>
    <col min="15629" max="15629" width="13.28515625" customWidth="1"/>
    <col min="15631" max="15631" width="10.28515625" bestFit="1" customWidth="1"/>
    <col min="15873" max="15873" width="3" customWidth="1"/>
    <col min="15874" max="15874" width="7.7109375" customWidth="1"/>
    <col min="15875" max="15875" width="11.85546875" customWidth="1"/>
    <col min="15876" max="15876" width="3.5703125" customWidth="1"/>
    <col min="15877" max="15877" width="12.28515625" customWidth="1"/>
    <col min="15878" max="15879" width="11.28515625" customWidth="1"/>
    <col min="15880" max="15880" width="11.28515625" bestFit="1" customWidth="1"/>
    <col min="15881" max="15881" width="10.7109375" customWidth="1"/>
    <col min="15882" max="15882" width="12.42578125" customWidth="1"/>
    <col min="15883" max="15883" width="11.28515625" bestFit="1" customWidth="1"/>
    <col min="15884" max="15884" width="10.42578125" customWidth="1"/>
    <col min="15885" max="15885" width="13.28515625" customWidth="1"/>
    <col min="15887" max="15887" width="10.28515625" bestFit="1" customWidth="1"/>
    <col min="16129" max="16129" width="3" customWidth="1"/>
    <col min="16130" max="16130" width="7.7109375" customWidth="1"/>
    <col min="16131" max="16131" width="11.85546875" customWidth="1"/>
    <col min="16132" max="16132" width="3.5703125" customWidth="1"/>
    <col min="16133" max="16133" width="12.28515625" customWidth="1"/>
    <col min="16134" max="16135" width="11.28515625" customWidth="1"/>
    <col min="16136" max="16136" width="11.28515625" bestFit="1" customWidth="1"/>
    <col min="16137" max="16137" width="10.7109375" customWidth="1"/>
    <col min="16138" max="16138" width="12.42578125" customWidth="1"/>
    <col min="16139" max="16139" width="11.28515625" bestFit="1" customWidth="1"/>
    <col min="16140" max="16140" width="10.42578125" customWidth="1"/>
    <col min="16141" max="16141" width="13.28515625" customWidth="1"/>
    <col min="16143" max="16143" width="10.28515625" bestFit="1" customWidth="1"/>
  </cols>
  <sheetData>
    <row r="1" spans="1:15" ht="34.5" customHeight="1" x14ac:dyDescent="0.25">
      <c r="A1" s="768" t="s">
        <v>276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</row>
    <row r="2" spans="1:15" x14ac:dyDescent="0.25">
      <c r="A2" t="s">
        <v>42</v>
      </c>
    </row>
    <row r="4" spans="1:15" ht="68.25" customHeight="1" thickBot="1" x14ac:dyDescent="0.3">
      <c r="A4" s="770" t="s">
        <v>277</v>
      </c>
      <c r="B4" s="771"/>
      <c r="C4" s="771"/>
      <c r="D4" s="409" t="s">
        <v>175</v>
      </c>
      <c r="E4" s="410" t="s">
        <v>65</v>
      </c>
      <c r="F4" s="411" t="s">
        <v>66</v>
      </c>
      <c r="G4" s="411" t="s">
        <v>67</v>
      </c>
      <c r="H4" s="411" t="s">
        <v>278</v>
      </c>
      <c r="I4" s="412" t="s">
        <v>69</v>
      </c>
      <c r="J4" s="412" t="s">
        <v>70</v>
      </c>
      <c r="K4" s="413" t="s">
        <v>71</v>
      </c>
      <c r="L4" s="413" t="s">
        <v>72</v>
      </c>
      <c r="M4" s="414" t="s">
        <v>279</v>
      </c>
    </row>
    <row r="5" spans="1:15" x14ac:dyDescent="0.25">
      <c r="A5" s="415" t="s">
        <v>280</v>
      </c>
      <c r="B5" s="416"/>
      <c r="C5" s="416"/>
      <c r="D5" s="772" t="s">
        <v>281</v>
      </c>
      <c r="E5" s="417">
        <f t="shared" ref="E5:L5" si="0">E6+E7</f>
        <v>28373527</v>
      </c>
      <c r="F5" s="418">
        <f t="shared" si="0"/>
        <v>62634124</v>
      </c>
      <c r="G5" s="418">
        <f t="shared" si="0"/>
        <v>31980505</v>
      </c>
      <c r="H5" s="418">
        <f t="shared" si="0"/>
        <v>121929282</v>
      </c>
      <c r="I5" s="418">
        <f t="shared" si="0"/>
        <v>6981000</v>
      </c>
      <c r="J5" s="418">
        <f t="shared" si="0"/>
        <v>121163479</v>
      </c>
      <c r="K5" s="417">
        <f>K6+K7</f>
        <v>190371696</v>
      </c>
      <c r="L5" s="417">
        <f t="shared" si="0"/>
        <v>5989048</v>
      </c>
      <c r="M5" s="400">
        <f>SUM(E5:L5)</f>
        <v>569422661</v>
      </c>
    </row>
    <row r="6" spans="1:15" x14ac:dyDescent="0.25">
      <c r="A6" s="419" t="s">
        <v>282</v>
      </c>
      <c r="B6" s="36"/>
      <c r="C6" s="36"/>
      <c r="D6" s="773"/>
      <c r="E6" s="420">
        <v>5295000</v>
      </c>
      <c r="F6" s="420">
        <v>2317000</v>
      </c>
      <c r="G6" s="420">
        <v>1350000</v>
      </c>
      <c r="H6" s="420">
        <v>14994000</v>
      </c>
      <c r="I6" s="420">
        <v>335000</v>
      </c>
      <c r="J6" s="420">
        <v>50880000</v>
      </c>
      <c r="K6" s="420">
        <v>7185000</v>
      </c>
      <c r="L6" s="420">
        <v>930000</v>
      </c>
      <c r="M6" s="226">
        <f t="shared" ref="M6:M51" si="1">SUM(E6:L6)</f>
        <v>83286000</v>
      </c>
      <c r="O6" s="253"/>
    </row>
    <row r="7" spans="1:15" x14ac:dyDescent="0.25">
      <c r="A7" s="419" t="s">
        <v>180</v>
      </c>
      <c r="B7" s="36"/>
      <c r="C7" s="36"/>
      <c r="D7" s="773"/>
      <c r="E7" s="421">
        <f>[1]souhrn!$C11</f>
        <v>23078527</v>
      </c>
      <c r="F7" s="421">
        <f>[1]souhrn!$C12</f>
        <v>60317124</v>
      </c>
      <c r="G7" s="421">
        <f>[1]souhrn!$C13</f>
        <v>30630505</v>
      </c>
      <c r="H7" s="421">
        <f>[1]souhrn!$C14</f>
        <v>106935282</v>
      </c>
      <c r="I7" s="421">
        <f>[1]souhrn!$C15</f>
        <v>6646000</v>
      </c>
      <c r="J7" s="421">
        <f>[1]souhrn!$C16</f>
        <v>70283479</v>
      </c>
      <c r="K7" s="421">
        <f>[1]souhrn!$C17</f>
        <v>183186696</v>
      </c>
      <c r="L7" s="421">
        <f>[1]souhrn!$C18</f>
        <v>5059048</v>
      </c>
      <c r="M7" s="422">
        <f>SUM(E7:L7)</f>
        <v>486136661</v>
      </c>
    </row>
    <row r="8" spans="1:15" x14ac:dyDescent="0.25">
      <c r="A8" s="761" t="s">
        <v>44</v>
      </c>
      <c r="B8" s="423" t="s">
        <v>283</v>
      </c>
      <c r="C8" s="424"/>
      <c r="D8" s="773"/>
      <c r="E8" s="258">
        <f t="shared" ref="E8:L8" si="2">E9+E10</f>
        <v>11576005</v>
      </c>
      <c r="F8" s="258">
        <f t="shared" si="2"/>
        <v>36531346</v>
      </c>
      <c r="G8" s="258">
        <f>G9+G10</f>
        <v>16301987</v>
      </c>
      <c r="H8" s="258">
        <f t="shared" si="2"/>
        <v>40077034</v>
      </c>
      <c r="I8" s="258">
        <f t="shared" si="2"/>
        <v>0</v>
      </c>
      <c r="J8" s="258">
        <f t="shared" si="2"/>
        <v>45922273</v>
      </c>
      <c r="K8" s="258">
        <f>K9+K10</f>
        <v>55058062</v>
      </c>
      <c r="L8" s="258">
        <f t="shared" si="2"/>
        <v>2892545</v>
      </c>
      <c r="M8" s="425">
        <f t="shared" si="1"/>
        <v>208359252</v>
      </c>
    </row>
    <row r="9" spans="1:15" x14ac:dyDescent="0.25">
      <c r="A9" s="762"/>
      <c r="B9" s="764" t="s">
        <v>44</v>
      </c>
      <c r="C9" s="426" t="s">
        <v>183</v>
      </c>
      <c r="D9" s="773"/>
      <c r="E9" s="427">
        <v>10820005</v>
      </c>
      <c r="F9" s="428">
        <v>33161346</v>
      </c>
      <c r="G9" s="428">
        <v>14829987</v>
      </c>
      <c r="H9" s="428">
        <v>39737034</v>
      </c>
      <c r="I9" s="428">
        <v>0</v>
      </c>
      <c r="J9" s="428">
        <v>32738273</v>
      </c>
      <c r="K9" s="428">
        <v>24007572</v>
      </c>
      <c r="L9" s="428">
        <v>2002545</v>
      </c>
      <c r="M9" s="425">
        <f t="shared" si="1"/>
        <v>157296762</v>
      </c>
    </row>
    <row r="10" spans="1:15" x14ac:dyDescent="0.25">
      <c r="A10" s="762"/>
      <c r="B10" s="765"/>
      <c r="C10" s="429" t="s">
        <v>184</v>
      </c>
      <c r="D10" s="773"/>
      <c r="E10" s="430">
        <v>756000</v>
      </c>
      <c r="F10" s="428">
        <v>3370000</v>
      </c>
      <c r="G10" s="428">
        <v>1472000</v>
      </c>
      <c r="H10" s="428">
        <v>340000</v>
      </c>
      <c r="I10" s="428">
        <v>0</v>
      </c>
      <c r="J10" s="428">
        <v>13184000</v>
      </c>
      <c r="K10" s="428">
        <v>31050490</v>
      </c>
      <c r="L10" s="428">
        <v>890000</v>
      </c>
      <c r="M10" s="425">
        <f t="shared" si="1"/>
        <v>51062490</v>
      </c>
    </row>
    <row r="11" spans="1:15" x14ac:dyDescent="0.25">
      <c r="A11" s="762"/>
      <c r="B11" s="419" t="s">
        <v>284</v>
      </c>
      <c r="C11" s="431"/>
      <c r="D11" s="773"/>
      <c r="E11" s="427">
        <v>3935842</v>
      </c>
      <c r="F11" s="432">
        <v>12420658</v>
      </c>
      <c r="G11" s="432">
        <v>5481735</v>
      </c>
      <c r="H11" s="432">
        <v>13626192</v>
      </c>
      <c r="I11" s="432">
        <v>0</v>
      </c>
      <c r="J11" s="432">
        <v>12616183</v>
      </c>
      <c r="K11" s="432">
        <v>18719741</v>
      </c>
      <c r="L11" s="432">
        <v>983465</v>
      </c>
      <c r="M11" s="425">
        <f t="shared" si="1"/>
        <v>67783816</v>
      </c>
    </row>
    <row r="12" spans="1:15" x14ac:dyDescent="0.25">
      <c r="A12" s="762"/>
      <c r="B12" s="419" t="s">
        <v>50</v>
      </c>
      <c r="C12" s="36"/>
      <c r="D12" s="773"/>
      <c r="E12" s="427">
        <v>162300</v>
      </c>
      <c r="F12" s="427">
        <v>497420</v>
      </c>
      <c r="G12" s="427">
        <v>222450</v>
      </c>
      <c r="H12" s="427">
        <v>596056</v>
      </c>
      <c r="I12" s="427">
        <v>0</v>
      </c>
      <c r="J12" s="427">
        <v>491074</v>
      </c>
      <c r="K12" s="427">
        <v>360114</v>
      </c>
      <c r="L12" s="427">
        <v>30038</v>
      </c>
      <c r="M12" s="425">
        <f t="shared" si="1"/>
        <v>2359452</v>
      </c>
      <c r="O12" s="259"/>
    </row>
    <row r="13" spans="1:15" x14ac:dyDescent="0.25">
      <c r="A13" s="763"/>
      <c r="B13" s="419" t="s">
        <v>51</v>
      </c>
      <c r="C13" s="36"/>
      <c r="D13" s="773"/>
      <c r="E13" s="257">
        <v>7404380</v>
      </c>
      <c r="F13" s="252">
        <v>10867700</v>
      </c>
      <c r="G13" s="252">
        <v>8624333</v>
      </c>
      <c r="H13" s="252">
        <v>52636000</v>
      </c>
      <c r="I13" s="252">
        <v>6646000</v>
      </c>
      <c r="J13" s="252">
        <v>11253949</v>
      </c>
      <c r="K13" s="252">
        <v>109048779</v>
      </c>
      <c r="L13" s="252">
        <v>1153000</v>
      </c>
      <c r="M13" s="425">
        <f>SUM(E13:L13)</f>
        <v>207634141</v>
      </c>
    </row>
    <row r="14" spans="1:15" ht="15.75" thickBot="1" x14ac:dyDescent="0.3">
      <c r="A14" s="355" t="s">
        <v>181</v>
      </c>
      <c r="B14" s="433"/>
      <c r="C14" s="434"/>
      <c r="D14" s="773"/>
      <c r="E14" s="435">
        <v>36.9</v>
      </c>
      <c r="F14" s="436">
        <v>103.8</v>
      </c>
      <c r="G14" s="436">
        <v>44.24</v>
      </c>
      <c r="H14" s="436">
        <v>145.38999999999999</v>
      </c>
      <c r="I14" s="436">
        <v>0</v>
      </c>
      <c r="J14" s="436">
        <v>103.18</v>
      </c>
      <c r="K14" s="436">
        <v>70</v>
      </c>
      <c r="L14" s="436">
        <v>6</v>
      </c>
      <c r="M14" s="437">
        <f t="shared" si="1"/>
        <v>509.51</v>
      </c>
    </row>
    <row r="15" spans="1:15" ht="15.75" thickTop="1" x14ac:dyDescent="0.25">
      <c r="A15" s="438" t="s">
        <v>285</v>
      </c>
      <c r="B15" s="439"/>
      <c r="C15" s="440"/>
      <c r="D15" s="773"/>
      <c r="E15" s="441">
        <v>2000000</v>
      </c>
      <c r="F15" s="442">
        <v>0</v>
      </c>
      <c r="G15" s="442">
        <v>1000000</v>
      </c>
      <c r="H15" s="442">
        <v>0</v>
      </c>
      <c r="I15" s="442">
        <v>0</v>
      </c>
      <c r="J15" s="442">
        <v>7800000</v>
      </c>
      <c r="K15" s="442">
        <v>7000000</v>
      </c>
      <c r="L15" s="442">
        <v>100000</v>
      </c>
      <c r="M15" s="443">
        <f t="shared" si="1"/>
        <v>17900000</v>
      </c>
    </row>
    <row r="16" spans="1:15" ht="15.75" thickBot="1" x14ac:dyDescent="0.3">
      <c r="A16" s="444" t="s">
        <v>286</v>
      </c>
      <c r="B16" s="445"/>
      <c r="C16" s="445"/>
      <c r="D16" s="774"/>
      <c r="E16" s="446"/>
      <c r="F16" s="447"/>
      <c r="G16" s="447"/>
      <c r="H16" s="447"/>
      <c r="I16" s="447"/>
      <c r="J16" s="447"/>
      <c r="K16" s="447"/>
      <c r="L16" s="447"/>
      <c r="M16" s="448">
        <f t="shared" si="1"/>
        <v>0</v>
      </c>
    </row>
    <row r="17" spans="1:13" hidden="1" x14ac:dyDescent="0.25">
      <c r="A17" s="449" t="s">
        <v>287</v>
      </c>
      <c r="B17" s="450"/>
      <c r="C17" s="450"/>
      <c r="D17" s="757" t="s">
        <v>269</v>
      </c>
      <c r="E17" s="420"/>
      <c r="F17" s="420"/>
      <c r="G17" s="420"/>
      <c r="H17" s="420">
        <f>H18+H19+H20</f>
        <v>0</v>
      </c>
      <c r="I17" s="420"/>
      <c r="J17" s="420">
        <f>J18+J19+J20</f>
        <v>0</v>
      </c>
      <c r="K17" s="420"/>
      <c r="L17" s="420"/>
      <c r="M17" s="443">
        <f t="shared" si="1"/>
        <v>0</v>
      </c>
    </row>
    <row r="18" spans="1:13" hidden="1" x14ac:dyDescent="0.25">
      <c r="A18" s="419" t="s">
        <v>179</v>
      </c>
      <c r="B18" s="36"/>
      <c r="C18" s="36"/>
      <c r="D18" s="757"/>
      <c r="E18" s="252"/>
      <c r="F18" s="420"/>
      <c r="G18" s="420"/>
      <c r="H18" s="252"/>
      <c r="I18" s="420"/>
      <c r="J18" s="252"/>
      <c r="K18" s="252"/>
      <c r="L18" s="420"/>
      <c r="M18" s="425">
        <f t="shared" si="1"/>
        <v>0</v>
      </c>
    </row>
    <row r="19" spans="1:13" ht="14.25" hidden="1" customHeight="1" x14ac:dyDescent="0.25">
      <c r="A19" s="759" t="s">
        <v>288</v>
      </c>
      <c r="B19" s="760"/>
      <c r="C19" s="760"/>
      <c r="D19" s="757"/>
      <c r="E19" s="420"/>
      <c r="F19" s="420"/>
      <c r="G19" s="420"/>
      <c r="H19" s="252"/>
      <c r="I19" s="420"/>
      <c r="J19" s="252"/>
      <c r="K19" s="252"/>
      <c r="L19" s="420"/>
      <c r="M19" s="425">
        <f t="shared" si="1"/>
        <v>0</v>
      </c>
    </row>
    <row r="20" spans="1:13" hidden="1" x14ac:dyDescent="0.25">
      <c r="A20" s="419" t="s">
        <v>180</v>
      </c>
      <c r="B20" s="36"/>
      <c r="C20" s="36"/>
      <c r="D20" s="757"/>
      <c r="E20" s="420"/>
      <c r="F20" s="420"/>
      <c r="G20" s="420"/>
      <c r="H20" s="420">
        <f>[1]souhrn!$C28</f>
        <v>0</v>
      </c>
      <c r="I20" s="420"/>
      <c r="J20" s="420">
        <f>[1]souhrn!C27</f>
        <v>0</v>
      </c>
      <c r="K20" s="420"/>
      <c r="L20" s="420"/>
      <c r="M20" s="425">
        <f t="shared" si="1"/>
        <v>0</v>
      </c>
    </row>
    <row r="21" spans="1:13" hidden="1" x14ac:dyDescent="0.25">
      <c r="A21" s="761" t="s">
        <v>44</v>
      </c>
      <c r="B21" s="423" t="s">
        <v>283</v>
      </c>
      <c r="C21" s="424"/>
      <c r="D21" s="757"/>
      <c r="E21" s="420"/>
      <c r="F21" s="420"/>
      <c r="G21" s="420"/>
      <c r="H21" s="420">
        <f>H22+H23</f>
        <v>0</v>
      </c>
      <c r="I21" s="420"/>
      <c r="J21" s="420">
        <f>J22+J23</f>
        <v>0</v>
      </c>
      <c r="K21" s="420"/>
      <c r="L21" s="420"/>
      <c r="M21" s="425">
        <f t="shared" si="1"/>
        <v>0</v>
      </c>
    </row>
    <row r="22" spans="1:13" hidden="1" x14ac:dyDescent="0.25">
      <c r="A22" s="762"/>
      <c r="B22" s="764" t="s">
        <v>44</v>
      </c>
      <c r="C22" s="426" t="s">
        <v>183</v>
      </c>
      <c r="D22" s="757"/>
      <c r="E22" s="428"/>
      <c r="F22" s="420"/>
      <c r="G22" s="420"/>
      <c r="H22" s="428">
        <f>[1]souhrn!E28</f>
        <v>0</v>
      </c>
      <c r="I22" s="420"/>
      <c r="J22" s="420">
        <f>[1]souhrn!E27</f>
        <v>0</v>
      </c>
      <c r="K22" s="420"/>
      <c r="L22" s="420"/>
      <c r="M22" s="425">
        <f t="shared" si="1"/>
        <v>0</v>
      </c>
    </row>
    <row r="23" spans="1:13" hidden="1" x14ac:dyDescent="0.25">
      <c r="A23" s="762"/>
      <c r="B23" s="765"/>
      <c r="C23" s="429" t="s">
        <v>184</v>
      </c>
      <c r="D23" s="757"/>
      <c r="E23" s="428"/>
      <c r="F23" s="420"/>
      <c r="G23" s="420"/>
      <c r="H23" s="428">
        <f>[1]souhrn!F28</f>
        <v>0</v>
      </c>
      <c r="I23" s="420"/>
      <c r="J23" s="420">
        <f>[1]souhrn!F27</f>
        <v>0</v>
      </c>
      <c r="K23" s="420"/>
      <c r="L23" s="420"/>
      <c r="M23" s="425">
        <f t="shared" si="1"/>
        <v>0</v>
      </c>
    </row>
    <row r="24" spans="1:13" hidden="1" x14ac:dyDescent="0.25">
      <c r="A24" s="762"/>
      <c r="B24" s="419" t="s">
        <v>284</v>
      </c>
      <c r="C24" s="431"/>
      <c r="D24" s="757"/>
      <c r="E24" s="428"/>
      <c r="F24" s="420"/>
      <c r="G24" s="420"/>
      <c r="H24" s="420">
        <f>([1]souhrn!G28-H25)</f>
        <v>0</v>
      </c>
      <c r="I24" s="420"/>
      <c r="J24" s="420">
        <f>([1]souhrn!G27-J25)</f>
        <v>0</v>
      </c>
      <c r="K24" s="420"/>
      <c r="L24" s="420"/>
      <c r="M24" s="425">
        <f t="shared" si="1"/>
        <v>0</v>
      </c>
    </row>
    <row r="25" spans="1:13" hidden="1" x14ac:dyDescent="0.25">
      <c r="A25" s="762"/>
      <c r="B25" s="419" t="s">
        <v>50</v>
      </c>
      <c r="C25" s="36"/>
      <c r="D25" s="757"/>
      <c r="E25" s="432"/>
      <c r="F25" s="420"/>
      <c r="G25" s="420"/>
      <c r="H25" s="432">
        <f>H22*0.02</f>
        <v>0</v>
      </c>
      <c r="I25" s="432"/>
      <c r="J25" s="432">
        <f>J22*0.02</f>
        <v>0</v>
      </c>
      <c r="K25" s="432"/>
      <c r="L25" s="420"/>
      <c r="M25" s="425">
        <f t="shared" si="1"/>
        <v>0</v>
      </c>
    </row>
    <row r="26" spans="1:13" hidden="1" x14ac:dyDescent="0.25">
      <c r="A26" s="763"/>
      <c r="B26" s="419" t="s">
        <v>51</v>
      </c>
      <c r="C26" s="36"/>
      <c r="D26" s="757"/>
      <c r="E26" s="420"/>
      <c r="F26" s="420"/>
      <c r="G26" s="420"/>
      <c r="H26" s="420">
        <f>H20-H21-H24-H25</f>
        <v>0</v>
      </c>
      <c r="I26" s="420"/>
      <c r="J26" s="420">
        <f>J20-J21-J24-J25</f>
        <v>0</v>
      </c>
      <c r="K26" s="420"/>
      <c r="L26" s="420"/>
      <c r="M26" s="425">
        <f t="shared" si="1"/>
        <v>0</v>
      </c>
    </row>
    <row r="27" spans="1:13" ht="15.75" hidden="1" thickBot="1" x14ac:dyDescent="0.3">
      <c r="A27" s="451" t="s">
        <v>181</v>
      </c>
      <c r="B27" s="452"/>
      <c r="C27" s="452"/>
      <c r="D27" s="758"/>
      <c r="E27" s="453"/>
      <c r="F27" s="453"/>
      <c r="G27" s="453"/>
      <c r="H27" s="453">
        <f>[1]souhrn!J28</f>
        <v>0</v>
      </c>
      <c r="I27" s="453"/>
      <c r="J27" s="453">
        <f>[1]souhrn!J27</f>
        <v>0</v>
      </c>
      <c r="K27" s="453"/>
      <c r="L27" s="453"/>
      <c r="M27" s="448">
        <f t="shared" si="1"/>
        <v>0</v>
      </c>
    </row>
    <row r="28" spans="1:13" x14ac:dyDescent="0.25">
      <c r="A28" s="449" t="s">
        <v>287</v>
      </c>
      <c r="B28" s="450"/>
      <c r="C28" s="450"/>
      <c r="D28" s="757" t="s">
        <v>289</v>
      </c>
      <c r="E28" s="420">
        <f>E29+E30+E31</f>
        <v>7651986</v>
      </c>
      <c r="F28" s="420">
        <f>F29+F30+F31</f>
        <v>387130</v>
      </c>
      <c r="G28" s="420"/>
      <c r="H28" s="420"/>
      <c r="I28" s="420"/>
      <c r="J28" s="420">
        <f>J29+J30+J31</f>
        <v>250000</v>
      </c>
      <c r="K28" s="420"/>
      <c r="L28" s="420"/>
      <c r="M28" s="443">
        <f t="shared" si="1"/>
        <v>8289116</v>
      </c>
    </row>
    <row r="29" spans="1:13" x14ac:dyDescent="0.25">
      <c r="A29" s="419" t="s">
        <v>179</v>
      </c>
      <c r="B29" s="36"/>
      <c r="C29" s="36"/>
      <c r="D29" s="757"/>
      <c r="E29" s="252"/>
      <c r="F29" s="252"/>
      <c r="G29" s="420"/>
      <c r="H29" s="252"/>
      <c r="I29" s="420"/>
      <c r="J29" s="420"/>
      <c r="K29" s="420"/>
      <c r="L29" s="420"/>
      <c r="M29" s="425">
        <f t="shared" si="1"/>
        <v>0</v>
      </c>
    </row>
    <row r="30" spans="1:13" ht="14.25" customHeight="1" x14ac:dyDescent="0.25">
      <c r="A30" s="759" t="s">
        <v>288</v>
      </c>
      <c r="B30" s="760"/>
      <c r="C30" s="760"/>
      <c r="D30" s="757"/>
      <c r="E30" s="420"/>
      <c r="F30" s="420"/>
      <c r="G30" s="420"/>
      <c r="H30" s="252"/>
      <c r="I30" s="420"/>
      <c r="J30" s="420"/>
      <c r="K30" s="420"/>
      <c r="L30" s="420"/>
      <c r="M30" s="425">
        <f t="shared" si="1"/>
        <v>0</v>
      </c>
    </row>
    <row r="31" spans="1:13" x14ac:dyDescent="0.25">
      <c r="A31" s="419" t="s">
        <v>180</v>
      </c>
      <c r="B31" s="36"/>
      <c r="C31" s="36"/>
      <c r="D31" s="757"/>
      <c r="E31" s="420">
        <f>[1]souhrn!C22</f>
        <v>7651986</v>
      </c>
      <c r="F31" s="420">
        <f>[1]souhrn!C23</f>
        <v>387130</v>
      </c>
      <c r="G31" s="420"/>
      <c r="H31" s="420"/>
      <c r="I31" s="420"/>
      <c r="J31" s="420">
        <f>[1]souhrn!C24</f>
        <v>250000</v>
      </c>
      <c r="K31" s="420"/>
      <c r="L31" s="420"/>
      <c r="M31" s="425">
        <f t="shared" si="1"/>
        <v>8289116</v>
      </c>
    </row>
    <row r="32" spans="1:13" x14ac:dyDescent="0.25">
      <c r="A32" s="761" t="s">
        <v>44</v>
      </c>
      <c r="B32" s="423" t="s">
        <v>283</v>
      </c>
      <c r="C32" s="424"/>
      <c r="D32" s="757"/>
      <c r="E32" s="420">
        <f>E33+E34</f>
        <v>5647222</v>
      </c>
      <c r="F32" s="420">
        <f>F33+F34</f>
        <v>288000</v>
      </c>
      <c r="G32" s="420"/>
      <c r="H32" s="420"/>
      <c r="I32" s="420"/>
      <c r="J32" s="420">
        <f>J33+J34</f>
        <v>250000</v>
      </c>
      <c r="K32" s="420"/>
      <c r="L32" s="420"/>
      <c r="M32" s="425">
        <f t="shared" si="1"/>
        <v>6185222</v>
      </c>
    </row>
    <row r="33" spans="1:13" x14ac:dyDescent="0.25">
      <c r="A33" s="762"/>
      <c r="B33" s="764" t="s">
        <v>44</v>
      </c>
      <c r="C33" s="426" t="s">
        <v>183</v>
      </c>
      <c r="D33" s="757"/>
      <c r="E33" s="428">
        <v>5647222</v>
      </c>
      <c r="F33" s="428">
        <v>0</v>
      </c>
      <c r="G33" s="420"/>
      <c r="H33" s="428"/>
      <c r="I33" s="420"/>
      <c r="J33" s="428">
        <v>0</v>
      </c>
      <c r="K33" s="420"/>
      <c r="L33" s="420"/>
      <c r="M33" s="425">
        <f t="shared" si="1"/>
        <v>5647222</v>
      </c>
    </row>
    <row r="34" spans="1:13" x14ac:dyDescent="0.25">
      <c r="A34" s="762"/>
      <c r="B34" s="765"/>
      <c r="C34" s="429" t="s">
        <v>184</v>
      </c>
      <c r="D34" s="757"/>
      <c r="E34" s="428">
        <v>0</v>
      </c>
      <c r="F34" s="428">
        <v>288000</v>
      </c>
      <c r="G34" s="420"/>
      <c r="H34" s="428"/>
      <c r="I34" s="420"/>
      <c r="J34" s="428">
        <v>250000</v>
      </c>
      <c r="K34" s="420"/>
      <c r="L34" s="420"/>
      <c r="M34" s="425">
        <f t="shared" si="1"/>
        <v>538000</v>
      </c>
    </row>
    <row r="35" spans="1:13" x14ac:dyDescent="0.25">
      <c r="A35" s="762"/>
      <c r="B35" s="419" t="s">
        <v>284</v>
      </c>
      <c r="C35" s="431"/>
      <c r="D35" s="757"/>
      <c r="E35" s="428">
        <v>1920056</v>
      </c>
      <c r="F35" s="428">
        <v>99130</v>
      </c>
      <c r="G35" s="420"/>
      <c r="H35" s="420"/>
      <c r="I35" s="420"/>
      <c r="J35" s="428">
        <v>0</v>
      </c>
      <c r="K35" s="420"/>
      <c r="L35" s="420"/>
      <c r="M35" s="425">
        <f t="shared" si="1"/>
        <v>2019186</v>
      </c>
    </row>
    <row r="36" spans="1:13" x14ac:dyDescent="0.25">
      <c r="A36" s="762"/>
      <c r="B36" s="419" t="s">
        <v>50</v>
      </c>
      <c r="C36" s="36"/>
      <c r="D36" s="757"/>
      <c r="E36" s="428">
        <v>84708</v>
      </c>
      <c r="F36" s="428">
        <v>0</v>
      </c>
      <c r="G36" s="420"/>
      <c r="H36" s="432"/>
      <c r="I36" s="420"/>
      <c r="J36" s="428">
        <v>0</v>
      </c>
      <c r="K36" s="420"/>
      <c r="L36" s="420"/>
      <c r="M36" s="425">
        <f t="shared" si="1"/>
        <v>84708</v>
      </c>
    </row>
    <row r="37" spans="1:13" x14ac:dyDescent="0.25">
      <c r="A37" s="763"/>
      <c r="B37" s="419" t="s">
        <v>51</v>
      </c>
      <c r="C37" s="36"/>
      <c r="D37" s="757"/>
      <c r="E37" s="428">
        <v>0</v>
      </c>
      <c r="F37" s="428">
        <v>0</v>
      </c>
      <c r="G37" s="420"/>
      <c r="H37" s="420"/>
      <c r="I37" s="420"/>
      <c r="J37" s="428">
        <v>0</v>
      </c>
      <c r="K37" s="420"/>
      <c r="L37" s="420"/>
      <c r="M37" s="425">
        <f t="shared" si="1"/>
        <v>0</v>
      </c>
    </row>
    <row r="38" spans="1:13" ht="15.75" thickBot="1" x14ac:dyDescent="0.3">
      <c r="A38" s="451" t="s">
        <v>181</v>
      </c>
      <c r="B38" s="452"/>
      <c r="C38" s="452"/>
      <c r="D38" s="758"/>
      <c r="E38" s="454">
        <v>16</v>
      </c>
      <c r="F38" s="454">
        <v>0</v>
      </c>
      <c r="G38" s="454"/>
      <c r="H38" s="454"/>
      <c r="I38" s="454"/>
      <c r="J38" s="454">
        <v>0</v>
      </c>
      <c r="K38" s="454"/>
      <c r="L38" s="454"/>
      <c r="M38" s="455">
        <f t="shared" si="1"/>
        <v>16</v>
      </c>
    </row>
    <row r="39" spans="1:13" x14ac:dyDescent="0.25">
      <c r="A39" s="449" t="s">
        <v>280</v>
      </c>
      <c r="B39" s="450"/>
      <c r="C39" s="450"/>
      <c r="D39" s="766" t="s">
        <v>290</v>
      </c>
      <c r="E39" s="258">
        <f>E5+E17+E28</f>
        <v>36025513</v>
      </c>
      <c r="F39" s="258">
        <f t="shared" ref="F39:L40" si="3">F5+F17+F28</f>
        <v>63021254</v>
      </c>
      <c r="G39" s="258">
        <f t="shared" si="3"/>
        <v>31980505</v>
      </c>
      <c r="H39" s="258">
        <f t="shared" si="3"/>
        <v>121929282</v>
      </c>
      <c r="I39" s="258">
        <f t="shared" si="3"/>
        <v>6981000</v>
      </c>
      <c r="J39" s="258">
        <f t="shared" si="3"/>
        <v>121413479</v>
      </c>
      <c r="K39" s="258">
        <f t="shared" si="3"/>
        <v>190371696</v>
      </c>
      <c r="L39" s="258">
        <f t="shared" si="3"/>
        <v>5989048</v>
      </c>
      <c r="M39" s="443">
        <f>SUM(E39:L39)</f>
        <v>577711777</v>
      </c>
    </row>
    <row r="40" spans="1:13" x14ac:dyDescent="0.25">
      <c r="A40" s="419" t="s">
        <v>282</v>
      </c>
      <c r="B40" s="36"/>
      <c r="C40" s="36"/>
      <c r="D40" s="766"/>
      <c r="E40" s="257">
        <f>E6+E18+E29</f>
        <v>5295000</v>
      </c>
      <c r="F40" s="257">
        <f t="shared" si="3"/>
        <v>2317000</v>
      </c>
      <c r="G40" s="257">
        <f t="shared" si="3"/>
        <v>1350000</v>
      </c>
      <c r="H40" s="257">
        <f t="shared" si="3"/>
        <v>14994000</v>
      </c>
      <c r="I40" s="257">
        <f t="shared" si="3"/>
        <v>335000</v>
      </c>
      <c r="J40" s="257">
        <f t="shared" si="3"/>
        <v>50880000</v>
      </c>
      <c r="K40" s="257">
        <f t="shared" si="3"/>
        <v>7185000</v>
      </c>
      <c r="L40" s="257">
        <f t="shared" si="3"/>
        <v>930000</v>
      </c>
      <c r="M40" s="425">
        <f t="shared" si="1"/>
        <v>83286000</v>
      </c>
    </row>
    <row r="41" spans="1:13" ht="14.25" customHeight="1" x14ac:dyDescent="0.25">
      <c r="A41" s="759" t="s">
        <v>288</v>
      </c>
      <c r="B41" s="760"/>
      <c r="C41" s="760"/>
      <c r="D41" s="766"/>
      <c r="E41" s="257">
        <f>E19+E30</f>
        <v>0</v>
      </c>
      <c r="F41" s="257">
        <f t="shared" ref="F41:L41" si="4">F19+F30</f>
        <v>0</v>
      </c>
      <c r="G41" s="257">
        <f t="shared" si="4"/>
        <v>0</v>
      </c>
      <c r="H41" s="257">
        <f t="shared" si="4"/>
        <v>0</v>
      </c>
      <c r="I41" s="257">
        <f t="shared" si="4"/>
        <v>0</v>
      </c>
      <c r="J41" s="257">
        <f t="shared" si="4"/>
        <v>0</v>
      </c>
      <c r="K41" s="257">
        <f t="shared" si="4"/>
        <v>0</v>
      </c>
      <c r="L41" s="257">
        <f t="shared" si="4"/>
        <v>0</v>
      </c>
      <c r="M41" s="425">
        <f t="shared" si="1"/>
        <v>0</v>
      </c>
    </row>
    <row r="42" spans="1:13" x14ac:dyDescent="0.25">
      <c r="A42" s="419" t="s">
        <v>180</v>
      </c>
      <c r="B42" s="36"/>
      <c r="C42" s="36"/>
      <c r="D42" s="766"/>
      <c r="E42" s="257">
        <f t="shared" ref="E42:L49" si="5">E7+E20+E31</f>
        <v>30730513</v>
      </c>
      <c r="F42" s="257">
        <f t="shared" si="5"/>
        <v>60704254</v>
      </c>
      <c r="G42" s="257">
        <f t="shared" si="5"/>
        <v>30630505</v>
      </c>
      <c r="H42" s="257">
        <f t="shared" si="5"/>
        <v>106935282</v>
      </c>
      <c r="I42" s="257">
        <f t="shared" si="5"/>
        <v>6646000</v>
      </c>
      <c r="J42" s="257">
        <f t="shared" si="5"/>
        <v>70533479</v>
      </c>
      <c r="K42" s="257">
        <f t="shared" si="5"/>
        <v>183186696</v>
      </c>
      <c r="L42" s="257">
        <f t="shared" si="5"/>
        <v>5059048</v>
      </c>
      <c r="M42" s="425">
        <f>SUM(E42:L42)</f>
        <v>494425777</v>
      </c>
    </row>
    <row r="43" spans="1:13" x14ac:dyDescent="0.25">
      <c r="A43" s="761" t="s">
        <v>44</v>
      </c>
      <c r="B43" s="423" t="s">
        <v>283</v>
      </c>
      <c r="C43" s="424"/>
      <c r="D43" s="766"/>
      <c r="E43" s="257">
        <f t="shared" si="5"/>
        <v>17223227</v>
      </c>
      <c r="F43" s="257">
        <f t="shared" si="5"/>
        <v>36819346</v>
      </c>
      <c r="G43" s="257">
        <f t="shared" si="5"/>
        <v>16301987</v>
      </c>
      <c r="H43" s="257">
        <f t="shared" si="5"/>
        <v>40077034</v>
      </c>
      <c r="I43" s="257">
        <f t="shared" si="5"/>
        <v>0</v>
      </c>
      <c r="J43" s="257">
        <f t="shared" si="5"/>
        <v>46172273</v>
      </c>
      <c r="K43" s="257">
        <f t="shared" si="5"/>
        <v>55058062</v>
      </c>
      <c r="L43" s="257">
        <f t="shared" si="5"/>
        <v>2892545</v>
      </c>
      <c r="M43" s="425">
        <f t="shared" si="1"/>
        <v>214544474</v>
      </c>
    </row>
    <row r="44" spans="1:13" x14ac:dyDescent="0.25">
      <c r="A44" s="762"/>
      <c r="B44" s="764" t="s">
        <v>44</v>
      </c>
      <c r="C44" s="426" t="s">
        <v>183</v>
      </c>
      <c r="D44" s="766"/>
      <c r="E44" s="257">
        <f t="shared" si="5"/>
        <v>16467227</v>
      </c>
      <c r="F44" s="257">
        <f t="shared" si="5"/>
        <v>33161346</v>
      </c>
      <c r="G44" s="257">
        <f t="shared" si="5"/>
        <v>14829987</v>
      </c>
      <c r="H44" s="257">
        <f t="shared" si="5"/>
        <v>39737034</v>
      </c>
      <c r="I44" s="257">
        <f t="shared" si="5"/>
        <v>0</v>
      </c>
      <c r="J44" s="257">
        <f t="shared" si="5"/>
        <v>32738273</v>
      </c>
      <c r="K44" s="257">
        <f t="shared" si="5"/>
        <v>24007572</v>
      </c>
      <c r="L44" s="257">
        <f t="shared" si="5"/>
        <v>2002545</v>
      </c>
      <c r="M44" s="425">
        <f t="shared" si="1"/>
        <v>162943984</v>
      </c>
    </row>
    <row r="45" spans="1:13" x14ac:dyDescent="0.25">
      <c r="A45" s="762"/>
      <c r="B45" s="765"/>
      <c r="C45" s="429" t="s">
        <v>184</v>
      </c>
      <c r="D45" s="766"/>
      <c r="E45" s="257">
        <f t="shared" si="5"/>
        <v>756000</v>
      </c>
      <c r="F45" s="257">
        <f t="shared" si="5"/>
        <v>3658000</v>
      </c>
      <c r="G45" s="257">
        <f t="shared" si="5"/>
        <v>1472000</v>
      </c>
      <c r="H45" s="257">
        <f t="shared" si="5"/>
        <v>340000</v>
      </c>
      <c r="I45" s="257">
        <f t="shared" si="5"/>
        <v>0</v>
      </c>
      <c r="J45" s="257">
        <f t="shared" si="5"/>
        <v>13434000</v>
      </c>
      <c r="K45" s="257">
        <f t="shared" si="5"/>
        <v>31050490</v>
      </c>
      <c r="L45" s="257">
        <f t="shared" si="5"/>
        <v>890000</v>
      </c>
      <c r="M45" s="425">
        <f t="shared" si="1"/>
        <v>51600490</v>
      </c>
    </row>
    <row r="46" spans="1:13" x14ac:dyDescent="0.25">
      <c r="A46" s="762"/>
      <c r="B46" s="419" t="s">
        <v>284</v>
      </c>
      <c r="C46" s="431"/>
      <c r="D46" s="766"/>
      <c r="E46" s="257">
        <f t="shared" si="5"/>
        <v>5855898</v>
      </c>
      <c r="F46" s="257">
        <f t="shared" si="5"/>
        <v>12519788</v>
      </c>
      <c r="G46" s="257">
        <f t="shared" si="5"/>
        <v>5481735</v>
      </c>
      <c r="H46" s="257">
        <f t="shared" si="5"/>
        <v>13626192</v>
      </c>
      <c r="I46" s="257">
        <f t="shared" si="5"/>
        <v>0</v>
      </c>
      <c r="J46" s="257">
        <f t="shared" si="5"/>
        <v>12616183</v>
      </c>
      <c r="K46" s="257">
        <f t="shared" si="5"/>
        <v>18719741</v>
      </c>
      <c r="L46" s="257">
        <f t="shared" si="5"/>
        <v>983465</v>
      </c>
      <c r="M46" s="425">
        <f t="shared" si="1"/>
        <v>69803002</v>
      </c>
    </row>
    <row r="47" spans="1:13" x14ac:dyDescent="0.25">
      <c r="A47" s="762"/>
      <c r="B47" s="419" t="s">
        <v>50</v>
      </c>
      <c r="C47" s="36"/>
      <c r="D47" s="766"/>
      <c r="E47" s="257">
        <f t="shared" si="5"/>
        <v>247008</v>
      </c>
      <c r="F47" s="257">
        <f t="shared" si="5"/>
        <v>497420</v>
      </c>
      <c r="G47" s="257">
        <f t="shared" si="5"/>
        <v>222450</v>
      </c>
      <c r="H47" s="257">
        <f t="shared" si="5"/>
        <v>596056</v>
      </c>
      <c r="I47" s="257">
        <f t="shared" si="5"/>
        <v>0</v>
      </c>
      <c r="J47" s="257">
        <f t="shared" si="5"/>
        <v>491074</v>
      </c>
      <c r="K47" s="257">
        <f t="shared" si="5"/>
        <v>360114</v>
      </c>
      <c r="L47" s="257">
        <f t="shared" si="5"/>
        <v>30038</v>
      </c>
      <c r="M47" s="425">
        <f t="shared" si="1"/>
        <v>2444160</v>
      </c>
    </row>
    <row r="48" spans="1:13" x14ac:dyDescent="0.25">
      <c r="A48" s="763"/>
      <c r="B48" s="419" t="s">
        <v>51</v>
      </c>
      <c r="C48" s="36"/>
      <c r="D48" s="766"/>
      <c r="E48" s="257">
        <f t="shared" si="5"/>
        <v>7404380</v>
      </c>
      <c r="F48" s="257">
        <f t="shared" si="5"/>
        <v>10867700</v>
      </c>
      <c r="G48" s="257">
        <f t="shared" si="5"/>
        <v>8624333</v>
      </c>
      <c r="H48" s="257">
        <f t="shared" si="5"/>
        <v>52636000</v>
      </c>
      <c r="I48" s="257">
        <f t="shared" si="5"/>
        <v>6646000</v>
      </c>
      <c r="J48" s="257">
        <f t="shared" si="5"/>
        <v>11253949</v>
      </c>
      <c r="K48" s="257">
        <f t="shared" si="5"/>
        <v>109048779</v>
      </c>
      <c r="L48" s="257">
        <f t="shared" si="5"/>
        <v>1153000</v>
      </c>
      <c r="M48" s="425">
        <f>SUM(E48:L48)</f>
        <v>207634141</v>
      </c>
    </row>
    <row r="49" spans="1:13" ht="15.75" thickBot="1" x14ac:dyDescent="0.3">
      <c r="A49" s="355" t="s">
        <v>181</v>
      </c>
      <c r="B49" s="433"/>
      <c r="C49" s="434"/>
      <c r="D49" s="766"/>
      <c r="E49" s="435">
        <f t="shared" si="5"/>
        <v>52.9</v>
      </c>
      <c r="F49" s="435">
        <f t="shared" si="5"/>
        <v>103.8</v>
      </c>
      <c r="G49" s="435">
        <f t="shared" si="5"/>
        <v>44.24</v>
      </c>
      <c r="H49" s="435">
        <f t="shared" si="5"/>
        <v>145.38999999999999</v>
      </c>
      <c r="I49" s="435">
        <f t="shared" si="5"/>
        <v>0</v>
      </c>
      <c r="J49" s="435">
        <f t="shared" si="5"/>
        <v>103.18</v>
      </c>
      <c r="K49" s="435">
        <f t="shared" si="5"/>
        <v>70</v>
      </c>
      <c r="L49" s="435">
        <f t="shared" si="5"/>
        <v>6</v>
      </c>
      <c r="M49" s="437">
        <f t="shared" si="1"/>
        <v>525.51</v>
      </c>
    </row>
    <row r="50" spans="1:13" ht="15.75" thickTop="1" x14ac:dyDescent="0.25">
      <c r="A50" s="438" t="s">
        <v>291</v>
      </c>
      <c r="B50" s="439"/>
      <c r="C50" s="440"/>
      <c r="D50" s="766"/>
      <c r="E50" s="441">
        <f t="shared" ref="E50:L51" si="6">SUM(E15)</f>
        <v>2000000</v>
      </c>
      <c r="F50" s="441">
        <f t="shared" si="6"/>
        <v>0</v>
      </c>
      <c r="G50" s="441">
        <f t="shared" si="6"/>
        <v>1000000</v>
      </c>
      <c r="H50" s="441">
        <f t="shared" si="6"/>
        <v>0</v>
      </c>
      <c r="I50" s="441">
        <f t="shared" si="6"/>
        <v>0</v>
      </c>
      <c r="J50" s="441">
        <f t="shared" si="6"/>
        <v>7800000</v>
      </c>
      <c r="K50" s="441">
        <f t="shared" si="6"/>
        <v>7000000</v>
      </c>
      <c r="L50" s="441">
        <f t="shared" si="6"/>
        <v>100000</v>
      </c>
      <c r="M50" s="443">
        <f t="shared" si="1"/>
        <v>17900000</v>
      </c>
    </row>
    <row r="51" spans="1:13" x14ac:dyDescent="0.25">
      <c r="A51" s="456" t="s">
        <v>286</v>
      </c>
      <c r="B51" s="457"/>
      <c r="C51" s="457"/>
      <c r="D51" s="767"/>
      <c r="E51" s="257">
        <f t="shared" si="6"/>
        <v>0</v>
      </c>
      <c r="F51" s="257">
        <f t="shared" si="6"/>
        <v>0</v>
      </c>
      <c r="G51" s="257">
        <f t="shared" si="6"/>
        <v>0</v>
      </c>
      <c r="H51" s="257">
        <f t="shared" si="6"/>
        <v>0</v>
      </c>
      <c r="I51" s="257">
        <f t="shared" si="6"/>
        <v>0</v>
      </c>
      <c r="J51" s="257">
        <f t="shared" si="6"/>
        <v>0</v>
      </c>
      <c r="K51" s="257">
        <f>SUM(K16)</f>
        <v>0</v>
      </c>
      <c r="L51" s="257">
        <f t="shared" si="6"/>
        <v>0</v>
      </c>
      <c r="M51" s="425">
        <f t="shared" si="1"/>
        <v>0</v>
      </c>
    </row>
    <row r="53" spans="1:13" ht="15.75" x14ac:dyDescent="0.25">
      <c r="A53" s="458" t="s">
        <v>292</v>
      </c>
      <c r="B53" t="s">
        <v>293</v>
      </c>
    </row>
    <row r="54" spans="1:13" x14ac:dyDescent="0.25">
      <c r="B54" t="s">
        <v>294</v>
      </c>
    </row>
  </sheetData>
  <mergeCells count="17">
    <mergeCell ref="D17:D27"/>
    <mergeCell ref="A19:C19"/>
    <mergeCell ref="A21:A26"/>
    <mergeCell ref="B22:B23"/>
    <mergeCell ref="A1:M1"/>
    <mergeCell ref="A4:C4"/>
    <mergeCell ref="D5:D16"/>
    <mergeCell ref="A8:A13"/>
    <mergeCell ref="B9:B10"/>
    <mergeCell ref="D28:D38"/>
    <mergeCell ref="A30:C30"/>
    <mergeCell ref="A32:A37"/>
    <mergeCell ref="B33:B34"/>
    <mergeCell ref="D39:D51"/>
    <mergeCell ref="A41:C41"/>
    <mergeCell ref="A43:A48"/>
    <mergeCell ref="B44:B45"/>
  </mergeCells>
  <printOptions horizontalCentered="1"/>
  <pageMargins left="0.70866141732283472" right="0.70866141732283472" top="0.78740157480314965" bottom="0.78740157480314965" header="0.51181102362204722" footer="0.31496062992125984"/>
  <pageSetup paperSize="9" scale="69" orientation="landscape" r:id="rId1"/>
  <headerFooter alignWithMargins="0">
    <oddHeader>&amp;RKapitola C.VI
&amp;"-,Tučné"Tabulka č. 1e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workbookViewId="0">
      <selection activeCell="V35" sqref="V35"/>
    </sheetView>
  </sheetViews>
  <sheetFormatPr defaultRowHeight="15" x14ac:dyDescent="0.25"/>
  <cols>
    <col min="1" max="1" width="77.140625" customWidth="1"/>
    <col min="2" max="2" width="16.28515625" customWidth="1"/>
    <col min="3" max="3" width="13.5703125" customWidth="1"/>
    <col min="4" max="4" width="14.140625" customWidth="1"/>
    <col min="5" max="5" width="11.140625" customWidth="1"/>
    <col min="6" max="6" width="10.42578125" customWidth="1"/>
    <col min="7" max="8" width="12.42578125" customWidth="1"/>
    <col min="9" max="9" width="11.28515625" customWidth="1"/>
    <col min="10" max="10" width="12" customWidth="1"/>
    <col min="11" max="11" width="11.42578125" customWidth="1"/>
    <col min="12" max="12" width="12.85546875" customWidth="1"/>
    <col min="13" max="13" width="11.42578125" customWidth="1"/>
    <col min="14" max="14" width="12.5703125" customWidth="1"/>
    <col min="15" max="15" width="13.28515625" customWidth="1"/>
    <col min="16" max="16" width="14.28515625" customWidth="1"/>
    <col min="17" max="17" width="14.42578125" customWidth="1"/>
    <col min="257" max="257" width="77.140625" customWidth="1"/>
    <col min="258" max="258" width="16.28515625" customWidth="1"/>
    <col min="259" max="259" width="13.5703125" customWidth="1"/>
    <col min="260" max="260" width="14.140625" customWidth="1"/>
    <col min="261" max="261" width="11.140625" customWidth="1"/>
    <col min="262" max="262" width="10.42578125" customWidth="1"/>
    <col min="263" max="264" width="12.42578125" customWidth="1"/>
    <col min="265" max="265" width="11.28515625" customWidth="1"/>
    <col min="266" max="266" width="12" customWidth="1"/>
    <col min="267" max="267" width="11.42578125" customWidth="1"/>
    <col min="268" max="268" width="12.85546875" customWidth="1"/>
    <col min="269" max="269" width="11.42578125" customWidth="1"/>
    <col min="270" max="270" width="12.5703125" customWidth="1"/>
    <col min="271" max="271" width="13.28515625" customWidth="1"/>
    <col min="272" max="272" width="14.28515625" customWidth="1"/>
    <col min="273" max="273" width="14.42578125" customWidth="1"/>
    <col min="513" max="513" width="77.140625" customWidth="1"/>
    <col min="514" max="514" width="16.28515625" customWidth="1"/>
    <col min="515" max="515" width="13.5703125" customWidth="1"/>
    <col min="516" max="516" width="14.140625" customWidth="1"/>
    <col min="517" max="517" width="11.140625" customWidth="1"/>
    <col min="518" max="518" width="10.42578125" customWidth="1"/>
    <col min="519" max="520" width="12.42578125" customWidth="1"/>
    <col min="521" max="521" width="11.28515625" customWidth="1"/>
    <col min="522" max="522" width="12" customWidth="1"/>
    <col min="523" max="523" width="11.42578125" customWidth="1"/>
    <col min="524" max="524" width="12.85546875" customWidth="1"/>
    <col min="525" max="525" width="11.42578125" customWidth="1"/>
    <col min="526" max="526" width="12.5703125" customWidth="1"/>
    <col min="527" max="527" width="13.28515625" customWidth="1"/>
    <col min="528" max="528" width="14.28515625" customWidth="1"/>
    <col min="529" max="529" width="14.42578125" customWidth="1"/>
    <col min="769" max="769" width="77.140625" customWidth="1"/>
    <col min="770" max="770" width="16.28515625" customWidth="1"/>
    <col min="771" max="771" width="13.5703125" customWidth="1"/>
    <col min="772" max="772" width="14.140625" customWidth="1"/>
    <col min="773" max="773" width="11.140625" customWidth="1"/>
    <col min="774" max="774" width="10.42578125" customWidth="1"/>
    <col min="775" max="776" width="12.42578125" customWidth="1"/>
    <col min="777" max="777" width="11.28515625" customWidth="1"/>
    <col min="778" max="778" width="12" customWidth="1"/>
    <col min="779" max="779" width="11.42578125" customWidth="1"/>
    <col min="780" max="780" width="12.85546875" customWidth="1"/>
    <col min="781" max="781" width="11.42578125" customWidth="1"/>
    <col min="782" max="782" width="12.5703125" customWidth="1"/>
    <col min="783" max="783" width="13.28515625" customWidth="1"/>
    <col min="784" max="784" width="14.28515625" customWidth="1"/>
    <col min="785" max="785" width="14.42578125" customWidth="1"/>
    <col min="1025" max="1025" width="77.140625" customWidth="1"/>
    <col min="1026" max="1026" width="16.28515625" customWidth="1"/>
    <col min="1027" max="1027" width="13.5703125" customWidth="1"/>
    <col min="1028" max="1028" width="14.140625" customWidth="1"/>
    <col min="1029" max="1029" width="11.140625" customWidth="1"/>
    <col min="1030" max="1030" width="10.42578125" customWidth="1"/>
    <col min="1031" max="1032" width="12.42578125" customWidth="1"/>
    <col min="1033" max="1033" width="11.28515625" customWidth="1"/>
    <col min="1034" max="1034" width="12" customWidth="1"/>
    <col min="1035" max="1035" width="11.42578125" customWidth="1"/>
    <col min="1036" max="1036" width="12.85546875" customWidth="1"/>
    <col min="1037" max="1037" width="11.42578125" customWidth="1"/>
    <col min="1038" max="1038" width="12.5703125" customWidth="1"/>
    <col min="1039" max="1039" width="13.28515625" customWidth="1"/>
    <col min="1040" max="1040" width="14.28515625" customWidth="1"/>
    <col min="1041" max="1041" width="14.42578125" customWidth="1"/>
    <col min="1281" max="1281" width="77.140625" customWidth="1"/>
    <col min="1282" max="1282" width="16.28515625" customWidth="1"/>
    <col min="1283" max="1283" width="13.5703125" customWidth="1"/>
    <col min="1284" max="1284" width="14.140625" customWidth="1"/>
    <col min="1285" max="1285" width="11.140625" customWidth="1"/>
    <col min="1286" max="1286" width="10.42578125" customWidth="1"/>
    <col min="1287" max="1288" width="12.42578125" customWidth="1"/>
    <col min="1289" max="1289" width="11.28515625" customWidth="1"/>
    <col min="1290" max="1290" width="12" customWidth="1"/>
    <col min="1291" max="1291" width="11.42578125" customWidth="1"/>
    <col min="1292" max="1292" width="12.85546875" customWidth="1"/>
    <col min="1293" max="1293" width="11.42578125" customWidth="1"/>
    <col min="1294" max="1294" width="12.5703125" customWidth="1"/>
    <col min="1295" max="1295" width="13.28515625" customWidth="1"/>
    <col min="1296" max="1296" width="14.28515625" customWidth="1"/>
    <col min="1297" max="1297" width="14.42578125" customWidth="1"/>
    <col min="1537" max="1537" width="77.140625" customWidth="1"/>
    <col min="1538" max="1538" width="16.28515625" customWidth="1"/>
    <col min="1539" max="1539" width="13.5703125" customWidth="1"/>
    <col min="1540" max="1540" width="14.140625" customWidth="1"/>
    <col min="1541" max="1541" width="11.140625" customWidth="1"/>
    <col min="1542" max="1542" width="10.42578125" customWidth="1"/>
    <col min="1543" max="1544" width="12.42578125" customWidth="1"/>
    <col min="1545" max="1545" width="11.28515625" customWidth="1"/>
    <col min="1546" max="1546" width="12" customWidth="1"/>
    <col min="1547" max="1547" width="11.42578125" customWidth="1"/>
    <col min="1548" max="1548" width="12.85546875" customWidth="1"/>
    <col min="1549" max="1549" width="11.42578125" customWidth="1"/>
    <col min="1550" max="1550" width="12.5703125" customWidth="1"/>
    <col min="1551" max="1551" width="13.28515625" customWidth="1"/>
    <col min="1552" max="1552" width="14.28515625" customWidth="1"/>
    <col min="1553" max="1553" width="14.42578125" customWidth="1"/>
    <col min="1793" max="1793" width="77.140625" customWidth="1"/>
    <col min="1794" max="1794" width="16.28515625" customWidth="1"/>
    <col min="1795" max="1795" width="13.5703125" customWidth="1"/>
    <col min="1796" max="1796" width="14.140625" customWidth="1"/>
    <col min="1797" max="1797" width="11.140625" customWidth="1"/>
    <col min="1798" max="1798" width="10.42578125" customWidth="1"/>
    <col min="1799" max="1800" width="12.42578125" customWidth="1"/>
    <col min="1801" max="1801" width="11.28515625" customWidth="1"/>
    <col min="1802" max="1802" width="12" customWidth="1"/>
    <col min="1803" max="1803" width="11.42578125" customWidth="1"/>
    <col min="1804" max="1804" width="12.85546875" customWidth="1"/>
    <col min="1805" max="1805" width="11.42578125" customWidth="1"/>
    <col min="1806" max="1806" width="12.5703125" customWidth="1"/>
    <col min="1807" max="1807" width="13.28515625" customWidth="1"/>
    <col min="1808" max="1808" width="14.28515625" customWidth="1"/>
    <col min="1809" max="1809" width="14.42578125" customWidth="1"/>
    <col min="2049" max="2049" width="77.140625" customWidth="1"/>
    <col min="2050" max="2050" width="16.28515625" customWidth="1"/>
    <col min="2051" max="2051" width="13.5703125" customWidth="1"/>
    <col min="2052" max="2052" width="14.140625" customWidth="1"/>
    <col min="2053" max="2053" width="11.140625" customWidth="1"/>
    <col min="2054" max="2054" width="10.42578125" customWidth="1"/>
    <col min="2055" max="2056" width="12.42578125" customWidth="1"/>
    <col min="2057" max="2057" width="11.28515625" customWidth="1"/>
    <col min="2058" max="2058" width="12" customWidth="1"/>
    <col min="2059" max="2059" width="11.42578125" customWidth="1"/>
    <col min="2060" max="2060" width="12.85546875" customWidth="1"/>
    <col min="2061" max="2061" width="11.42578125" customWidth="1"/>
    <col min="2062" max="2062" width="12.5703125" customWidth="1"/>
    <col min="2063" max="2063" width="13.28515625" customWidth="1"/>
    <col min="2064" max="2064" width="14.28515625" customWidth="1"/>
    <col min="2065" max="2065" width="14.42578125" customWidth="1"/>
    <col min="2305" max="2305" width="77.140625" customWidth="1"/>
    <col min="2306" max="2306" width="16.28515625" customWidth="1"/>
    <col min="2307" max="2307" width="13.5703125" customWidth="1"/>
    <col min="2308" max="2308" width="14.140625" customWidth="1"/>
    <col min="2309" max="2309" width="11.140625" customWidth="1"/>
    <col min="2310" max="2310" width="10.42578125" customWidth="1"/>
    <col min="2311" max="2312" width="12.42578125" customWidth="1"/>
    <col min="2313" max="2313" width="11.28515625" customWidth="1"/>
    <col min="2314" max="2314" width="12" customWidth="1"/>
    <col min="2315" max="2315" width="11.42578125" customWidth="1"/>
    <col min="2316" max="2316" width="12.85546875" customWidth="1"/>
    <col min="2317" max="2317" width="11.42578125" customWidth="1"/>
    <col min="2318" max="2318" width="12.5703125" customWidth="1"/>
    <col min="2319" max="2319" width="13.28515625" customWidth="1"/>
    <col min="2320" max="2320" width="14.28515625" customWidth="1"/>
    <col min="2321" max="2321" width="14.42578125" customWidth="1"/>
    <col min="2561" max="2561" width="77.140625" customWidth="1"/>
    <col min="2562" max="2562" width="16.28515625" customWidth="1"/>
    <col min="2563" max="2563" width="13.5703125" customWidth="1"/>
    <col min="2564" max="2564" width="14.140625" customWidth="1"/>
    <col min="2565" max="2565" width="11.140625" customWidth="1"/>
    <col min="2566" max="2566" width="10.42578125" customWidth="1"/>
    <col min="2567" max="2568" width="12.42578125" customWidth="1"/>
    <col min="2569" max="2569" width="11.28515625" customWidth="1"/>
    <col min="2570" max="2570" width="12" customWidth="1"/>
    <col min="2571" max="2571" width="11.42578125" customWidth="1"/>
    <col min="2572" max="2572" width="12.85546875" customWidth="1"/>
    <col min="2573" max="2573" width="11.42578125" customWidth="1"/>
    <col min="2574" max="2574" width="12.5703125" customWidth="1"/>
    <col min="2575" max="2575" width="13.28515625" customWidth="1"/>
    <col min="2576" max="2576" width="14.28515625" customWidth="1"/>
    <col min="2577" max="2577" width="14.42578125" customWidth="1"/>
    <col min="2817" max="2817" width="77.140625" customWidth="1"/>
    <col min="2818" max="2818" width="16.28515625" customWidth="1"/>
    <col min="2819" max="2819" width="13.5703125" customWidth="1"/>
    <col min="2820" max="2820" width="14.140625" customWidth="1"/>
    <col min="2821" max="2821" width="11.140625" customWidth="1"/>
    <col min="2822" max="2822" width="10.42578125" customWidth="1"/>
    <col min="2823" max="2824" width="12.42578125" customWidth="1"/>
    <col min="2825" max="2825" width="11.28515625" customWidth="1"/>
    <col min="2826" max="2826" width="12" customWidth="1"/>
    <col min="2827" max="2827" width="11.42578125" customWidth="1"/>
    <col min="2828" max="2828" width="12.85546875" customWidth="1"/>
    <col min="2829" max="2829" width="11.42578125" customWidth="1"/>
    <col min="2830" max="2830" width="12.5703125" customWidth="1"/>
    <col min="2831" max="2831" width="13.28515625" customWidth="1"/>
    <col min="2832" max="2832" width="14.28515625" customWidth="1"/>
    <col min="2833" max="2833" width="14.42578125" customWidth="1"/>
    <col min="3073" max="3073" width="77.140625" customWidth="1"/>
    <col min="3074" max="3074" width="16.28515625" customWidth="1"/>
    <col min="3075" max="3075" width="13.5703125" customWidth="1"/>
    <col min="3076" max="3076" width="14.140625" customWidth="1"/>
    <col min="3077" max="3077" width="11.140625" customWidth="1"/>
    <col min="3078" max="3078" width="10.42578125" customWidth="1"/>
    <col min="3079" max="3080" width="12.42578125" customWidth="1"/>
    <col min="3081" max="3081" width="11.28515625" customWidth="1"/>
    <col min="3082" max="3082" width="12" customWidth="1"/>
    <col min="3083" max="3083" width="11.42578125" customWidth="1"/>
    <col min="3084" max="3084" width="12.85546875" customWidth="1"/>
    <col min="3085" max="3085" width="11.42578125" customWidth="1"/>
    <col min="3086" max="3086" width="12.5703125" customWidth="1"/>
    <col min="3087" max="3087" width="13.28515625" customWidth="1"/>
    <col min="3088" max="3088" width="14.28515625" customWidth="1"/>
    <col min="3089" max="3089" width="14.42578125" customWidth="1"/>
    <col min="3329" max="3329" width="77.140625" customWidth="1"/>
    <col min="3330" max="3330" width="16.28515625" customWidth="1"/>
    <col min="3331" max="3331" width="13.5703125" customWidth="1"/>
    <col min="3332" max="3332" width="14.140625" customWidth="1"/>
    <col min="3333" max="3333" width="11.140625" customWidth="1"/>
    <col min="3334" max="3334" width="10.42578125" customWidth="1"/>
    <col min="3335" max="3336" width="12.42578125" customWidth="1"/>
    <col min="3337" max="3337" width="11.28515625" customWidth="1"/>
    <col min="3338" max="3338" width="12" customWidth="1"/>
    <col min="3339" max="3339" width="11.42578125" customWidth="1"/>
    <col min="3340" max="3340" width="12.85546875" customWidth="1"/>
    <col min="3341" max="3341" width="11.42578125" customWidth="1"/>
    <col min="3342" max="3342" width="12.5703125" customWidth="1"/>
    <col min="3343" max="3343" width="13.28515625" customWidth="1"/>
    <col min="3344" max="3344" width="14.28515625" customWidth="1"/>
    <col min="3345" max="3345" width="14.42578125" customWidth="1"/>
    <col min="3585" max="3585" width="77.140625" customWidth="1"/>
    <col min="3586" max="3586" width="16.28515625" customWidth="1"/>
    <col min="3587" max="3587" width="13.5703125" customWidth="1"/>
    <col min="3588" max="3588" width="14.140625" customWidth="1"/>
    <col min="3589" max="3589" width="11.140625" customWidth="1"/>
    <col min="3590" max="3590" width="10.42578125" customWidth="1"/>
    <col min="3591" max="3592" width="12.42578125" customWidth="1"/>
    <col min="3593" max="3593" width="11.28515625" customWidth="1"/>
    <col min="3594" max="3594" width="12" customWidth="1"/>
    <col min="3595" max="3595" width="11.42578125" customWidth="1"/>
    <col min="3596" max="3596" width="12.85546875" customWidth="1"/>
    <col min="3597" max="3597" width="11.42578125" customWidth="1"/>
    <col min="3598" max="3598" width="12.5703125" customWidth="1"/>
    <col min="3599" max="3599" width="13.28515625" customWidth="1"/>
    <col min="3600" max="3600" width="14.28515625" customWidth="1"/>
    <col min="3601" max="3601" width="14.42578125" customWidth="1"/>
    <col min="3841" max="3841" width="77.140625" customWidth="1"/>
    <col min="3842" max="3842" width="16.28515625" customWidth="1"/>
    <col min="3843" max="3843" width="13.5703125" customWidth="1"/>
    <col min="3844" max="3844" width="14.140625" customWidth="1"/>
    <col min="3845" max="3845" width="11.140625" customWidth="1"/>
    <col min="3846" max="3846" width="10.42578125" customWidth="1"/>
    <col min="3847" max="3848" width="12.42578125" customWidth="1"/>
    <col min="3849" max="3849" width="11.28515625" customWidth="1"/>
    <col min="3850" max="3850" width="12" customWidth="1"/>
    <col min="3851" max="3851" width="11.42578125" customWidth="1"/>
    <col min="3852" max="3852" width="12.85546875" customWidth="1"/>
    <col min="3853" max="3853" width="11.42578125" customWidth="1"/>
    <col min="3854" max="3854" width="12.5703125" customWidth="1"/>
    <col min="3855" max="3855" width="13.28515625" customWidth="1"/>
    <col min="3856" max="3856" width="14.28515625" customWidth="1"/>
    <col min="3857" max="3857" width="14.42578125" customWidth="1"/>
    <col min="4097" max="4097" width="77.140625" customWidth="1"/>
    <col min="4098" max="4098" width="16.28515625" customWidth="1"/>
    <col min="4099" max="4099" width="13.5703125" customWidth="1"/>
    <col min="4100" max="4100" width="14.140625" customWidth="1"/>
    <col min="4101" max="4101" width="11.140625" customWidth="1"/>
    <col min="4102" max="4102" width="10.42578125" customWidth="1"/>
    <col min="4103" max="4104" width="12.42578125" customWidth="1"/>
    <col min="4105" max="4105" width="11.28515625" customWidth="1"/>
    <col min="4106" max="4106" width="12" customWidth="1"/>
    <col min="4107" max="4107" width="11.42578125" customWidth="1"/>
    <col min="4108" max="4108" width="12.85546875" customWidth="1"/>
    <col min="4109" max="4109" width="11.42578125" customWidth="1"/>
    <col min="4110" max="4110" width="12.5703125" customWidth="1"/>
    <col min="4111" max="4111" width="13.28515625" customWidth="1"/>
    <col min="4112" max="4112" width="14.28515625" customWidth="1"/>
    <col min="4113" max="4113" width="14.42578125" customWidth="1"/>
    <col min="4353" max="4353" width="77.140625" customWidth="1"/>
    <col min="4354" max="4354" width="16.28515625" customWidth="1"/>
    <col min="4355" max="4355" width="13.5703125" customWidth="1"/>
    <col min="4356" max="4356" width="14.140625" customWidth="1"/>
    <col min="4357" max="4357" width="11.140625" customWidth="1"/>
    <col min="4358" max="4358" width="10.42578125" customWidth="1"/>
    <col min="4359" max="4360" width="12.42578125" customWidth="1"/>
    <col min="4361" max="4361" width="11.28515625" customWidth="1"/>
    <col min="4362" max="4362" width="12" customWidth="1"/>
    <col min="4363" max="4363" width="11.42578125" customWidth="1"/>
    <col min="4364" max="4364" width="12.85546875" customWidth="1"/>
    <col min="4365" max="4365" width="11.42578125" customWidth="1"/>
    <col min="4366" max="4366" width="12.5703125" customWidth="1"/>
    <col min="4367" max="4367" width="13.28515625" customWidth="1"/>
    <col min="4368" max="4368" width="14.28515625" customWidth="1"/>
    <col min="4369" max="4369" width="14.42578125" customWidth="1"/>
    <col min="4609" max="4609" width="77.140625" customWidth="1"/>
    <col min="4610" max="4610" width="16.28515625" customWidth="1"/>
    <col min="4611" max="4611" width="13.5703125" customWidth="1"/>
    <col min="4612" max="4612" width="14.140625" customWidth="1"/>
    <col min="4613" max="4613" width="11.140625" customWidth="1"/>
    <col min="4614" max="4614" width="10.42578125" customWidth="1"/>
    <col min="4615" max="4616" width="12.42578125" customWidth="1"/>
    <col min="4617" max="4617" width="11.28515625" customWidth="1"/>
    <col min="4618" max="4618" width="12" customWidth="1"/>
    <col min="4619" max="4619" width="11.42578125" customWidth="1"/>
    <col min="4620" max="4620" width="12.85546875" customWidth="1"/>
    <col min="4621" max="4621" width="11.42578125" customWidth="1"/>
    <col min="4622" max="4622" width="12.5703125" customWidth="1"/>
    <col min="4623" max="4623" width="13.28515625" customWidth="1"/>
    <col min="4624" max="4624" width="14.28515625" customWidth="1"/>
    <col min="4625" max="4625" width="14.42578125" customWidth="1"/>
    <col min="4865" max="4865" width="77.140625" customWidth="1"/>
    <col min="4866" max="4866" width="16.28515625" customWidth="1"/>
    <col min="4867" max="4867" width="13.5703125" customWidth="1"/>
    <col min="4868" max="4868" width="14.140625" customWidth="1"/>
    <col min="4869" max="4869" width="11.140625" customWidth="1"/>
    <col min="4870" max="4870" width="10.42578125" customWidth="1"/>
    <col min="4871" max="4872" width="12.42578125" customWidth="1"/>
    <col min="4873" max="4873" width="11.28515625" customWidth="1"/>
    <col min="4874" max="4874" width="12" customWidth="1"/>
    <col min="4875" max="4875" width="11.42578125" customWidth="1"/>
    <col min="4876" max="4876" width="12.85546875" customWidth="1"/>
    <col min="4877" max="4877" width="11.42578125" customWidth="1"/>
    <col min="4878" max="4878" width="12.5703125" customWidth="1"/>
    <col min="4879" max="4879" width="13.28515625" customWidth="1"/>
    <col min="4880" max="4880" width="14.28515625" customWidth="1"/>
    <col min="4881" max="4881" width="14.42578125" customWidth="1"/>
    <col min="5121" max="5121" width="77.140625" customWidth="1"/>
    <col min="5122" max="5122" width="16.28515625" customWidth="1"/>
    <col min="5123" max="5123" width="13.5703125" customWidth="1"/>
    <col min="5124" max="5124" width="14.140625" customWidth="1"/>
    <col min="5125" max="5125" width="11.140625" customWidth="1"/>
    <col min="5126" max="5126" width="10.42578125" customWidth="1"/>
    <col min="5127" max="5128" width="12.42578125" customWidth="1"/>
    <col min="5129" max="5129" width="11.28515625" customWidth="1"/>
    <col min="5130" max="5130" width="12" customWidth="1"/>
    <col min="5131" max="5131" width="11.42578125" customWidth="1"/>
    <col min="5132" max="5132" width="12.85546875" customWidth="1"/>
    <col min="5133" max="5133" width="11.42578125" customWidth="1"/>
    <col min="5134" max="5134" width="12.5703125" customWidth="1"/>
    <col min="5135" max="5135" width="13.28515625" customWidth="1"/>
    <col min="5136" max="5136" width="14.28515625" customWidth="1"/>
    <col min="5137" max="5137" width="14.42578125" customWidth="1"/>
    <col min="5377" max="5377" width="77.140625" customWidth="1"/>
    <col min="5378" max="5378" width="16.28515625" customWidth="1"/>
    <col min="5379" max="5379" width="13.5703125" customWidth="1"/>
    <col min="5380" max="5380" width="14.140625" customWidth="1"/>
    <col min="5381" max="5381" width="11.140625" customWidth="1"/>
    <col min="5382" max="5382" width="10.42578125" customWidth="1"/>
    <col min="5383" max="5384" width="12.42578125" customWidth="1"/>
    <col min="5385" max="5385" width="11.28515625" customWidth="1"/>
    <col min="5386" max="5386" width="12" customWidth="1"/>
    <col min="5387" max="5387" width="11.42578125" customWidth="1"/>
    <col min="5388" max="5388" width="12.85546875" customWidth="1"/>
    <col min="5389" max="5389" width="11.42578125" customWidth="1"/>
    <col min="5390" max="5390" width="12.5703125" customWidth="1"/>
    <col min="5391" max="5391" width="13.28515625" customWidth="1"/>
    <col min="5392" max="5392" width="14.28515625" customWidth="1"/>
    <col min="5393" max="5393" width="14.42578125" customWidth="1"/>
    <col min="5633" max="5633" width="77.140625" customWidth="1"/>
    <col min="5634" max="5634" width="16.28515625" customWidth="1"/>
    <col min="5635" max="5635" width="13.5703125" customWidth="1"/>
    <col min="5636" max="5636" width="14.140625" customWidth="1"/>
    <col min="5637" max="5637" width="11.140625" customWidth="1"/>
    <col min="5638" max="5638" width="10.42578125" customWidth="1"/>
    <col min="5639" max="5640" width="12.42578125" customWidth="1"/>
    <col min="5641" max="5641" width="11.28515625" customWidth="1"/>
    <col min="5642" max="5642" width="12" customWidth="1"/>
    <col min="5643" max="5643" width="11.42578125" customWidth="1"/>
    <col min="5644" max="5644" width="12.85546875" customWidth="1"/>
    <col min="5645" max="5645" width="11.42578125" customWidth="1"/>
    <col min="5646" max="5646" width="12.5703125" customWidth="1"/>
    <col min="5647" max="5647" width="13.28515625" customWidth="1"/>
    <col min="5648" max="5648" width="14.28515625" customWidth="1"/>
    <col min="5649" max="5649" width="14.42578125" customWidth="1"/>
    <col min="5889" max="5889" width="77.140625" customWidth="1"/>
    <col min="5890" max="5890" width="16.28515625" customWidth="1"/>
    <col min="5891" max="5891" width="13.5703125" customWidth="1"/>
    <col min="5892" max="5892" width="14.140625" customWidth="1"/>
    <col min="5893" max="5893" width="11.140625" customWidth="1"/>
    <col min="5894" max="5894" width="10.42578125" customWidth="1"/>
    <col min="5895" max="5896" width="12.42578125" customWidth="1"/>
    <col min="5897" max="5897" width="11.28515625" customWidth="1"/>
    <col min="5898" max="5898" width="12" customWidth="1"/>
    <col min="5899" max="5899" width="11.42578125" customWidth="1"/>
    <col min="5900" max="5900" width="12.85546875" customWidth="1"/>
    <col min="5901" max="5901" width="11.42578125" customWidth="1"/>
    <col min="5902" max="5902" width="12.5703125" customWidth="1"/>
    <col min="5903" max="5903" width="13.28515625" customWidth="1"/>
    <col min="5904" max="5904" width="14.28515625" customWidth="1"/>
    <col min="5905" max="5905" width="14.42578125" customWidth="1"/>
    <col min="6145" max="6145" width="77.140625" customWidth="1"/>
    <col min="6146" max="6146" width="16.28515625" customWidth="1"/>
    <col min="6147" max="6147" width="13.5703125" customWidth="1"/>
    <col min="6148" max="6148" width="14.140625" customWidth="1"/>
    <col min="6149" max="6149" width="11.140625" customWidth="1"/>
    <col min="6150" max="6150" width="10.42578125" customWidth="1"/>
    <col min="6151" max="6152" width="12.42578125" customWidth="1"/>
    <col min="6153" max="6153" width="11.28515625" customWidth="1"/>
    <col min="6154" max="6154" width="12" customWidth="1"/>
    <col min="6155" max="6155" width="11.42578125" customWidth="1"/>
    <col min="6156" max="6156" width="12.85546875" customWidth="1"/>
    <col min="6157" max="6157" width="11.42578125" customWidth="1"/>
    <col min="6158" max="6158" width="12.5703125" customWidth="1"/>
    <col min="6159" max="6159" width="13.28515625" customWidth="1"/>
    <col min="6160" max="6160" width="14.28515625" customWidth="1"/>
    <col min="6161" max="6161" width="14.42578125" customWidth="1"/>
    <col min="6401" max="6401" width="77.140625" customWidth="1"/>
    <col min="6402" max="6402" width="16.28515625" customWidth="1"/>
    <col min="6403" max="6403" width="13.5703125" customWidth="1"/>
    <col min="6404" max="6404" width="14.140625" customWidth="1"/>
    <col min="6405" max="6405" width="11.140625" customWidth="1"/>
    <col min="6406" max="6406" width="10.42578125" customWidth="1"/>
    <col min="6407" max="6408" width="12.42578125" customWidth="1"/>
    <col min="6409" max="6409" width="11.28515625" customWidth="1"/>
    <col min="6410" max="6410" width="12" customWidth="1"/>
    <col min="6411" max="6411" width="11.42578125" customWidth="1"/>
    <col min="6412" max="6412" width="12.85546875" customWidth="1"/>
    <col min="6413" max="6413" width="11.42578125" customWidth="1"/>
    <col min="6414" max="6414" width="12.5703125" customWidth="1"/>
    <col min="6415" max="6415" width="13.28515625" customWidth="1"/>
    <col min="6416" max="6416" width="14.28515625" customWidth="1"/>
    <col min="6417" max="6417" width="14.42578125" customWidth="1"/>
    <col min="6657" max="6657" width="77.140625" customWidth="1"/>
    <col min="6658" max="6658" width="16.28515625" customWidth="1"/>
    <col min="6659" max="6659" width="13.5703125" customWidth="1"/>
    <col min="6660" max="6660" width="14.140625" customWidth="1"/>
    <col min="6661" max="6661" width="11.140625" customWidth="1"/>
    <col min="6662" max="6662" width="10.42578125" customWidth="1"/>
    <col min="6663" max="6664" width="12.42578125" customWidth="1"/>
    <col min="6665" max="6665" width="11.28515625" customWidth="1"/>
    <col min="6666" max="6666" width="12" customWidth="1"/>
    <col min="6667" max="6667" width="11.42578125" customWidth="1"/>
    <col min="6668" max="6668" width="12.85546875" customWidth="1"/>
    <col min="6669" max="6669" width="11.42578125" customWidth="1"/>
    <col min="6670" max="6670" width="12.5703125" customWidth="1"/>
    <col min="6671" max="6671" width="13.28515625" customWidth="1"/>
    <col min="6672" max="6672" width="14.28515625" customWidth="1"/>
    <col min="6673" max="6673" width="14.42578125" customWidth="1"/>
    <col min="6913" max="6913" width="77.140625" customWidth="1"/>
    <col min="6914" max="6914" width="16.28515625" customWidth="1"/>
    <col min="6915" max="6915" width="13.5703125" customWidth="1"/>
    <col min="6916" max="6916" width="14.140625" customWidth="1"/>
    <col min="6917" max="6917" width="11.140625" customWidth="1"/>
    <col min="6918" max="6918" width="10.42578125" customWidth="1"/>
    <col min="6919" max="6920" width="12.42578125" customWidth="1"/>
    <col min="6921" max="6921" width="11.28515625" customWidth="1"/>
    <col min="6922" max="6922" width="12" customWidth="1"/>
    <col min="6923" max="6923" width="11.42578125" customWidth="1"/>
    <col min="6924" max="6924" width="12.85546875" customWidth="1"/>
    <col min="6925" max="6925" width="11.42578125" customWidth="1"/>
    <col min="6926" max="6926" width="12.5703125" customWidth="1"/>
    <col min="6927" max="6927" width="13.28515625" customWidth="1"/>
    <col min="6928" max="6928" width="14.28515625" customWidth="1"/>
    <col min="6929" max="6929" width="14.42578125" customWidth="1"/>
    <col min="7169" max="7169" width="77.140625" customWidth="1"/>
    <col min="7170" max="7170" width="16.28515625" customWidth="1"/>
    <col min="7171" max="7171" width="13.5703125" customWidth="1"/>
    <col min="7172" max="7172" width="14.140625" customWidth="1"/>
    <col min="7173" max="7173" width="11.140625" customWidth="1"/>
    <col min="7174" max="7174" width="10.42578125" customWidth="1"/>
    <col min="7175" max="7176" width="12.42578125" customWidth="1"/>
    <col min="7177" max="7177" width="11.28515625" customWidth="1"/>
    <col min="7178" max="7178" width="12" customWidth="1"/>
    <col min="7179" max="7179" width="11.42578125" customWidth="1"/>
    <col min="7180" max="7180" width="12.85546875" customWidth="1"/>
    <col min="7181" max="7181" width="11.42578125" customWidth="1"/>
    <col min="7182" max="7182" width="12.5703125" customWidth="1"/>
    <col min="7183" max="7183" width="13.28515625" customWidth="1"/>
    <col min="7184" max="7184" width="14.28515625" customWidth="1"/>
    <col min="7185" max="7185" width="14.42578125" customWidth="1"/>
    <col min="7425" max="7425" width="77.140625" customWidth="1"/>
    <col min="7426" max="7426" width="16.28515625" customWidth="1"/>
    <col min="7427" max="7427" width="13.5703125" customWidth="1"/>
    <col min="7428" max="7428" width="14.140625" customWidth="1"/>
    <col min="7429" max="7429" width="11.140625" customWidth="1"/>
    <col min="7430" max="7430" width="10.42578125" customWidth="1"/>
    <col min="7431" max="7432" width="12.42578125" customWidth="1"/>
    <col min="7433" max="7433" width="11.28515625" customWidth="1"/>
    <col min="7434" max="7434" width="12" customWidth="1"/>
    <col min="7435" max="7435" width="11.42578125" customWidth="1"/>
    <col min="7436" max="7436" width="12.85546875" customWidth="1"/>
    <col min="7437" max="7437" width="11.42578125" customWidth="1"/>
    <col min="7438" max="7438" width="12.5703125" customWidth="1"/>
    <col min="7439" max="7439" width="13.28515625" customWidth="1"/>
    <col min="7440" max="7440" width="14.28515625" customWidth="1"/>
    <col min="7441" max="7441" width="14.42578125" customWidth="1"/>
    <col min="7681" max="7681" width="77.140625" customWidth="1"/>
    <col min="7682" max="7682" width="16.28515625" customWidth="1"/>
    <col min="7683" max="7683" width="13.5703125" customWidth="1"/>
    <col min="7684" max="7684" width="14.140625" customWidth="1"/>
    <col min="7685" max="7685" width="11.140625" customWidth="1"/>
    <col min="7686" max="7686" width="10.42578125" customWidth="1"/>
    <col min="7687" max="7688" width="12.42578125" customWidth="1"/>
    <col min="7689" max="7689" width="11.28515625" customWidth="1"/>
    <col min="7690" max="7690" width="12" customWidth="1"/>
    <col min="7691" max="7691" width="11.42578125" customWidth="1"/>
    <col min="7692" max="7692" width="12.85546875" customWidth="1"/>
    <col min="7693" max="7693" width="11.42578125" customWidth="1"/>
    <col min="7694" max="7694" width="12.5703125" customWidth="1"/>
    <col min="7695" max="7695" width="13.28515625" customWidth="1"/>
    <col min="7696" max="7696" width="14.28515625" customWidth="1"/>
    <col min="7697" max="7697" width="14.42578125" customWidth="1"/>
    <col min="7937" max="7937" width="77.140625" customWidth="1"/>
    <col min="7938" max="7938" width="16.28515625" customWidth="1"/>
    <col min="7939" max="7939" width="13.5703125" customWidth="1"/>
    <col min="7940" max="7940" width="14.140625" customWidth="1"/>
    <col min="7941" max="7941" width="11.140625" customWidth="1"/>
    <col min="7942" max="7942" width="10.42578125" customWidth="1"/>
    <col min="7943" max="7944" width="12.42578125" customWidth="1"/>
    <col min="7945" max="7945" width="11.28515625" customWidth="1"/>
    <col min="7946" max="7946" width="12" customWidth="1"/>
    <col min="7947" max="7947" width="11.42578125" customWidth="1"/>
    <col min="7948" max="7948" width="12.85546875" customWidth="1"/>
    <col min="7949" max="7949" width="11.42578125" customWidth="1"/>
    <col min="7950" max="7950" width="12.5703125" customWidth="1"/>
    <col min="7951" max="7951" width="13.28515625" customWidth="1"/>
    <col min="7952" max="7952" width="14.28515625" customWidth="1"/>
    <col min="7953" max="7953" width="14.42578125" customWidth="1"/>
    <col min="8193" max="8193" width="77.140625" customWidth="1"/>
    <col min="8194" max="8194" width="16.28515625" customWidth="1"/>
    <col min="8195" max="8195" width="13.5703125" customWidth="1"/>
    <col min="8196" max="8196" width="14.140625" customWidth="1"/>
    <col min="8197" max="8197" width="11.140625" customWidth="1"/>
    <col min="8198" max="8198" width="10.42578125" customWidth="1"/>
    <col min="8199" max="8200" width="12.42578125" customWidth="1"/>
    <col min="8201" max="8201" width="11.28515625" customWidth="1"/>
    <col min="8202" max="8202" width="12" customWidth="1"/>
    <col min="8203" max="8203" width="11.42578125" customWidth="1"/>
    <col min="8204" max="8204" width="12.85546875" customWidth="1"/>
    <col min="8205" max="8205" width="11.42578125" customWidth="1"/>
    <col min="8206" max="8206" width="12.5703125" customWidth="1"/>
    <col min="8207" max="8207" width="13.28515625" customWidth="1"/>
    <col min="8208" max="8208" width="14.28515625" customWidth="1"/>
    <col min="8209" max="8209" width="14.42578125" customWidth="1"/>
    <col min="8449" max="8449" width="77.140625" customWidth="1"/>
    <col min="8450" max="8450" width="16.28515625" customWidth="1"/>
    <col min="8451" max="8451" width="13.5703125" customWidth="1"/>
    <col min="8452" max="8452" width="14.140625" customWidth="1"/>
    <col min="8453" max="8453" width="11.140625" customWidth="1"/>
    <col min="8454" max="8454" width="10.42578125" customWidth="1"/>
    <col min="8455" max="8456" width="12.42578125" customWidth="1"/>
    <col min="8457" max="8457" width="11.28515625" customWidth="1"/>
    <col min="8458" max="8458" width="12" customWidth="1"/>
    <col min="8459" max="8459" width="11.42578125" customWidth="1"/>
    <col min="8460" max="8460" width="12.85546875" customWidth="1"/>
    <col min="8461" max="8461" width="11.42578125" customWidth="1"/>
    <col min="8462" max="8462" width="12.5703125" customWidth="1"/>
    <col min="8463" max="8463" width="13.28515625" customWidth="1"/>
    <col min="8464" max="8464" width="14.28515625" customWidth="1"/>
    <col min="8465" max="8465" width="14.42578125" customWidth="1"/>
    <col min="8705" max="8705" width="77.140625" customWidth="1"/>
    <col min="8706" max="8706" width="16.28515625" customWidth="1"/>
    <col min="8707" max="8707" width="13.5703125" customWidth="1"/>
    <col min="8708" max="8708" width="14.140625" customWidth="1"/>
    <col min="8709" max="8709" width="11.140625" customWidth="1"/>
    <col min="8710" max="8710" width="10.42578125" customWidth="1"/>
    <col min="8711" max="8712" width="12.42578125" customWidth="1"/>
    <col min="8713" max="8713" width="11.28515625" customWidth="1"/>
    <col min="8714" max="8714" width="12" customWidth="1"/>
    <col min="8715" max="8715" width="11.42578125" customWidth="1"/>
    <col min="8716" max="8716" width="12.85546875" customWidth="1"/>
    <col min="8717" max="8717" width="11.42578125" customWidth="1"/>
    <col min="8718" max="8718" width="12.5703125" customWidth="1"/>
    <col min="8719" max="8719" width="13.28515625" customWidth="1"/>
    <col min="8720" max="8720" width="14.28515625" customWidth="1"/>
    <col min="8721" max="8721" width="14.42578125" customWidth="1"/>
    <col min="8961" max="8961" width="77.140625" customWidth="1"/>
    <col min="8962" max="8962" width="16.28515625" customWidth="1"/>
    <col min="8963" max="8963" width="13.5703125" customWidth="1"/>
    <col min="8964" max="8964" width="14.140625" customWidth="1"/>
    <col min="8965" max="8965" width="11.140625" customWidth="1"/>
    <col min="8966" max="8966" width="10.42578125" customWidth="1"/>
    <col min="8967" max="8968" width="12.42578125" customWidth="1"/>
    <col min="8969" max="8969" width="11.28515625" customWidth="1"/>
    <col min="8970" max="8970" width="12" customWidth="1"/>
    <col min="8971" max="8971" width="11.42578125" customWidth="1"/>
    <col min="8972" max="8972" width="12.85546875" customWidth="1"/>
    <col min="8973" max="8973" width="11.42578125" customWidth="1"/>
    <col min="8974" max="8974" width="12.5703125" customWidth="1"/>
    <col min="8975" max="8975" width="13.28515625" customWidth="1"/>
    <col min="8976" max="8976" width="14.28515625" customWidth="1"/>
    <col min="8977" max="8977" width="14.42578125" customWidth="1"/>
    <col min="9217" max="9217" width="77.140625" customWidth="1"/>
    <col min="9218" max="9218" width="16.28515625" customWidth="1"/>
    <col min="9219" max="9219" width="13.5703125" customWidth="1"/>
    <col min="9220" max="9220" width="14.140625" customWidth="1"/>
    <col min="9221" max="9221" width="11.140625" customWidth="1"/>
    <col min="9222" max="9222" width="10.42578125" customWidth="1"/>
    <col min="9223" max="9224" width="12.42578125" customWidth="1"/>
    <col min="9225" max="9225" width="11.28515625" customWidth="1"/>
    <col min="9226" max="9226" width="12" customWidth="1"/>
    <col min="9227" max="9227" width="11.42578125" customWidth="1"/>
    <col min="9228" max="9228" width="12.85546875" customWidth="1"/>
    <col min="9229" max="9229" width="11.42578125" customWidth="1"/>
    <col min="9230" max="9230" width="12.5703125" customWidth="1"/>
    <col min="9231" max="9231" width="13.28515625" customWidth="1"/>
    <col min="9232" max="9232" width="14.28515625" customWidth="1"/>
    <col min="9233" max="9233" width="14.42578125" customWidth="1"/>
    <col min="9473" max="9473" width="77.140625" customWidth="1"/>
    <col min="9474" max="9474" width="16.28515625" customWidth="1"/>
    <col min="9475" max="9475" width="13.5703125" customWidth="1"/>
    <col min="9476" max="9476" width="14.140625" customWidth="1"/>
    <col min="9477" max="9477" width="11.140625" customWidth="1"/>
    <col min="9478" max="9478" width="10.42578125" customWidth="1"/>
    <col min="9479" max="9480" width="12.42578125" customWidth="1"/>
    <col min="9481" max="9481" width="11.28515625" customWidth="1"/>
    <col min="9482" max="9482" width="12" customWidth="1"/>
    <col min="9483" max="9483" width="11.42578125" customWidth="1"/>
    <col min="9484" max="9484" width="12.85546875" customWidth="1"/>
    <col min="9485" max="9485" width="11.42578125" customWidth="1"/>
    <col min="9486" max="9486" width="12.5703125" customWidth="1"/>
    <col min="9487" max="9487" width="13.28515625" customWidth="1"/>
    <col min="9488" max="9488" width="14.28515625" customWidth="1"/>
    <col min="9489" max="9489" width="14.42578125" customWidth="1"/>
    <col min="9729" max="9729" width="77.140625" customWidth="1"/>
    <col min="9730" max="9730" width="16.28515625" customWidth="1"/>
    <col min="9731" max="9731" width="13.5703125" customWidth="1"/>
    <col min="9732" max="9732" width="14.140625" customWidth="1"/>
    <col min="9733" max="9733" width="11.140625" customWidth="1"/>
    <col min="9734" max="9734" width="10.42578125" customWidth="1"/>
    <col min="9735" max="9736" width="12.42578125" customWidth="1"/>
    <col min="9737" max="9737" width="11.28515625" customWidth="1"/>
    <col min="9738" max="9738" width="12" customWidth="1"/>
    <col min="9739" max="9739" width="11.42578125" customWidth="1"/>
    <col min="9740" max="9740" width="12.85546875" customWidth="1"/>
    <col min="9741" max="9741" width="11.42578125" customWidth="1"/>
    <col min="9742" max="9742" width="12.5703125" customWidth="1"/>
    <col min="9743" max="9743" width="13.28515625" customWidth="1"/>
    <col min="9744" max="9744" width="14.28515625" customWidth="1"/>
    <col min="9745" max="9745" width="14.42578125" customWidth="1"/>
    <col min="9985" max="9985" width="77.140625" customWidth="1"/>
    <col min="9986" max="9986" width="16.28515625" customWidth="1"/>
    <col min="9987" max="9987" width="13.5703125" customWidth="1"/>
    <col min="9988" max="9988" width="14.140625" customWidth="1"/>
    <col min="9989" max="9989" width="11.140625" customWidth="1"/>
    <col min="9990" max="9990" width="10.42578125" customWidth="1"/>
    <col min="9991" max="9992" width="12.42578125" customWidth="1"/>
    <col min="9993" max="9993" width="11.28515625" customWidth="1"/>
    <col min="9994" max="9994" width="12" customWidth="1"/>
    <col min="9995" max="9995" width="11.42578125" customWidth="1"/>
    <col min="9996" max="9996" width="12.85546875" customWidth="1"/>
    <col min="9997" max="9997" width="11.42578125" customWidth="1"/>
    <col min="9998" max="9998" width="12.5703125" customWidth="1"/>
    <col min="9999" max="9999" width="13.28515625" customWidth="1"/>
    <col min="10000" max="10000" width="14.28515625" customWidth="1"/>
    <col min="10001" max="10001" width="14.42578125" customWidth="1"/>
    <col min="10241" max="10241" width="77.140625" customWidth="1"/>
    <col min="10242" max="10242" width="16.28515625" customWidth="1"/>
    <col min="10243" max="10243" width="13.5703125" customWidth="1"/>
    <col min="10244" max="10244" width="14.140625" customWidth="1"/>
    <col min="10245" max="10245" width="11.140625" customWidth="1"/>
    <col min="10246" max="10246" width="10.42578125" customWidth="1"/>
    <col min="10247" max="10248" width="12.42578125" customWidth="1"/>
    <col min="10249" max="10249" width="11.28515625" customWidth="1"/>
    <col min="10250" max="10250" width="12" customWidth="1"/>
    <col min="10251" max="10251" width="11.42578125" customWidth="1"/>
    <col min="10252" max="10252" width="12.85546875" customWidth="1"/>
    <col min="10253" max="10253" width="11.42578125" customWidth="1"/>
    <col min="10254" max="10254" width="12.5703125" customWidth="1"/>
    <col min="10255" max="10255" width="13.28515625" customWidth="1"/>
    <col min="10256" max="10256" width="14.28515625" customWidth="1"/>
    <col min="10257" max="10257" width="14.42578125" customWidth="1"/>
    <col min="10497" max="10497" width="77.140625" customWidth="1"/>
    <col min="10498" max="10498" width="16.28515625" customWidth="1"/>
    <col min="10499" max="10499" width="13.5703125" customWidth="1"/>
    <col min="10500" max="10500" width="14.140625" customWidth="1"/>
    <col min="10501" max="10501" width="11.140625" customWidth="1"/>
    <col min="10502" max="10502" width="10.42578125" customWidth="1"/>
    <col min="10503" max="10504" width="12.42578125" customWidth="1"/>
    <col min="10505" max="10505" width="11.28515625" customWidth="1"/>
    <col min="10506" max="10506" width="12" customWidth="1"/>
    <col min="10507" max="10507" width="11.42578125" customWidth="1"/>
    <col min="10508" max="10508" width="12.85546875" customWidth="1"/>
    <col min="10509" max="10509" width="11.42578125" customWidth="1"/>
    <col min="10510" max="10510" width="12.5703125" customWidth="1"/>
    <col min="10511" max="10511" width="13.28515625" customWidth="1"/>
    <col min="10512" max="10512" width="14.28515625" customWidth="1"/>
    <col min="10513" max="10513" width="14.42578125" customWidth="1"/>
    <col min="10753" max="10753" width="77.140625" customWidth="1"/>
    <col min="10754" max="10754" width="16.28515625" customWidth="1"/>
    <col min="10755" max="10755" width="13.5703125" customWidth="1"/>
    <col min="10756" max="10756" width="14.140625" customWidth="1"/>
    <col min="10757" max="10757" width="11.140625" customWidth="1"/>
    <col min="10758" max="10758" width="10.42578125" customWidth="1"/>
    <col min="10759" max="10760" width="12.42578125" customWidth="1"/>
    <col min="10761" max="10761" width="11.28515625" customWidth="1"/>
    <col min="10762" max="10762" width="12" customWidth="1"/>
    <col min="10763" max="10763" width="11.42578125" customWidth="1"/>
    <col min="10764" max="10764" width="12.85546875" customWidth="1"/>
    <col min="10765" max="10765" width="11.42578125" customWidth="1"/>
    <col min="10766" max="10766" width="12.5703125" customWidth="1"/>
    <col min="10767" max="10767" width="13.28515625" customWidth="1"/>
    <col min="10768" max="10768" width="14.28515625" customWidth="1"/>
    <col min="10769" max="10769" width="14.42578125" customWidth="1"/>
    <col min="11009" max="11009" width="77.140625" customWidth="1"/>
    <col min="11010" max="11010" width="16.28515625" customWidth="1"/>
    <col min="11011" max="11011" width="13.5703125" customWidth="1"/>
    <col min="11012" max="11012" width="14.140625" customWidth="1"/>
    <col min="11013" max="11013" width="11.140625" customWidth="1"/>
    <col min="11014" max="11014" width="10.42578125" customWidth="1"/>
    <col min="11015" max="11016" width="12.42578125" customWidth="1"/>
    <col min="11017" max="11017" width="11.28515625" customWidth="1"/>
    <col min="11018" max="11018" width="12" customWidth="1"/>
    <col min="11019" max="11019" width="11.42578125" customWidth="1"/>
    <col min="11020" max="11020" width="12.85546875" customWidth="1"/>
    <col min="11021" max="11021" width="11.42578125" customWidth="1"/>
    <col min="11022" max="11022" width="12.5703125" customWidth="1"/>
    <col min="11023" max="11023" width="13.28515625" customWidth="1"/>
    <col min="11024" max="11024" width="14.28515625" customWidth="1"/>
    <col min="11025" max="11025" width="14.42578125" customWidth="1"/>
    <col min="11265" max="11265" width="77.140625" customWidth="1"/>
    <col min="11266" max="11266" width="16.28515625" customWidth="1"/>
    <col min="11267" max="11267" width="13.5703125" customWidth="1"/>
    <col min="11268" max="11268" width="14.140625" customWidth="1"/>
    <col min="11269" max="11269" width="11.140625" customWidth="1"/>
    <col min="11270" max="11270" width="10.42578125" customWidth="1"/>
    <col min="11271" max="11272" width="12.42578125" customWidth="1"/>
    <col min="11273" max="11273" width="11.28515625" customWidth="1"/>
    <col min="11274" max="11274" width="12" customWidth="1"/>
    <col min="11275" max="11275" width="11.42578125" customWidth="1"/>
    <col min="11276" max="11276" width="12.85546875" customWidth="1"/>
    <col min="11277" max="11277" width="11.42578125" customWidth="1"/>
    <col min="11278" max="11278" width="12.5703125" customWidth="1"/>
    <col min="11279" max="11279" width="13.28515625" customWidth="1"/>
    <col min="11280" max="11280" width="14.28515625" customWidth="1"/>
    <col min="11281" max="11281" width="14.42578125" customWidth="1"/>
    <col min="11521" max="11521" width="77.140625" customWidth="1"/>
    <col min="11522" max="11522" width="16.28515625" customWidth="1"/>
    <col min="11523" max="11523" width="13.5703125" customWidth="1"/>
    <col min="11524" max="11524" width="14.140625" customWidth="1"/>
    <col min="11525" max="11525" width="11.140625" customWidth="1"/>
    <col min="11526" max="11526" width="10.42578125" customWidth="1"/>
    <col min="11527" max="11528" width="12.42578125" customWidth="1"/>
    <col min="11529" max="11529" width="11.28515625" customWidth="1"/>
    <col min="11530" max="11530" width="12" customWidth="1"/>
    <col min="11531" max="11531" width="11.42578125" customWidth="1"/>
    <col min="11532" max="11532" width="12.85546875" customWidth="1"/>
    <col min="11533" max="11533" width="11.42578125" customWidth="1"/>
    <col min="11534" max="11534" width="12.5703125" customWidth="1"/>
    <col min="11535" max="11535" width="13.28515625" customWidth="1"/>
    <col min="11536" max="11536" width="14.28515625" customWidth="1"/>
    <col min="11537" max="11537" width="14.42578125" customWidth="1"/>
    <col min="11777" max="11777" width="77.140625" customWidth="1"/>
    <col min="11778" max="11778" width="16.28515625" customWidth="1"/>
    <col min="11779" max="11779" width="13.5703125" customWidth="1"/>
    <col min="11780" max="11780" width="14.140625" customWidth="1"/>
    <col min="11781" max="11781" width="11.140625" customWidth="1"/>
    <col min="11782" max="11782" width="10.42578125" customWidth="1"/>
    <col min="11783" max="11784" width="12.42578125" customWidth="1"/>
    <col min="11785" max="11785" width="11.28515625" customWidth="1"/>
    <col min="11786" max="11786" width="12" customWidth="1"/>
    <col min="11787" max="11787" width="11.42578125" customWidth="1"/>
    <col min="11788" max="11788" width="12.85546875" customWidth="1"/>
    <col min="11789" max="11789" width="11.42578125" customWidth="1"/>
    <col min="11790" max="11790" width="12.5703125" customWidth="1"/>
    <col min="11791" max="11791" width="13.28515625" customWidth="1"/>
    <col min="11792" max="11792" width="14.28515625" customWidth="1"/>
    <col min="11793" max="11793" width="14.42578125" customWidth="1"/>
    <col min="12033" max="12033" width="77.140625" customWidth="1"/>
    <col min="12034" max="12034" width="16.28515625" customWidth="1"/>
    <col min="12035" max="12035" width="13.5703125" customWidth="1"/>
    <col min="12036" max="12036" width="14.140625" customWidth="1"/>
    <col min="12037" max="12037" width="11.140625" customWidth="1"/>
    <col min="12038" max="12038" width="10.42578125" customWidth="1"/>
    <col min="12039" max="12040" width="12.42578125" customWidth="1"/>
    <col min="12041" max="12041" width="11.28515625" customWidth="1"/>
    <col min="12042" max="12042" width="12" customWidth="1"/>
    <col min="12043" max="12043" width="11.42578125" customWidth="1"/>
    <col min="12044" max="12044" width="12.85546875" customWidth="1"/>
    <col min="12045" max="12045" width="11.42578125" customWidth="1"/>
    <col min="12046" max="12046" width="12.5703125" customWidth="1"/>
    <col min="12047" max="12047" width="13.28515625" customWidth="1"/>
    <col min="12048" max="12048" width="14.28515625" customWidth="1"/>
    <col min="12049" max="12049" width="14.42578125" customWidth="1"/>
    <col min="12289" max="12289" width="77.140625" customWidth="1"/>
    <col min="12290" max="12290" width="16.28515625" customWidth="1"/>
    <col min="12291" max="12291" width="13.5703125" customWidth="1"/>
    <col min="12292" max="12292" width="14.140625" customWidth="1"/>
    <col min="12293" max="12293" width="11.140625" customWidth="1"/>
    <col min="12294" max="12294" width="10.42578125" customWidth="1"/>
    <col min="12295" max="12296" width="12.42578125" customWidth="1"/>
    <col min="12297" max="12297" width="11.28515625" customWidth="1"/>
    <col min="12298" max="12298" width="12" customWidth="1"/>
    <col min="12299" max="12299" width="11.42578125" customWidth="1"/>
    <col min="12300" max="12300" width="12.85546875" customWidth="1"/>
    <col min="12301" max="12301" width="11.42578125" customWidth="1"/>
    <col min="12302" max="12302" width="12.5703125" customWidth="1"/>
    <col min="12303" max="12303" width="13.28515625" customWidth="1"/>
    <col min="12304" max="12304" width="14.28515625" customWidth="1"/>
    <col min="12305" max="12305" width="14.42578125" customWidth="1"/>
    <col min="12545" max="12545" width="77.140625" customWidth="1"/>
    <col min="12546" max="12546" width="16.28515625" customWidth="1"/>
    <col min="12547" max="12547" width="13.5703125" customWidth="1"/>
    <col min="12548" max="12548" width="14.140625" customWidth="1"/>
    <col min="12549" max="12549" width="11.140625" customWidth="1"/>
    <col min="12550" max="12550" width="10.42578125" customWidth="1"/>
    <col min="12551" max="12552" width="12.42578125" customWidth="1"/>
    <col min="12553" max="12553" width="11.28515625" customWidth="1"/>
    <col min="12554" max="12554" width="12" customWidth="1"/>
    <col min="12555" max="12555" width="11.42578125" customWidth="1"/>
    <col min="12556" max="12556" width="12.85546875" customWidth="1"/>
    <col min="12557" max="12557" width="11.42578125" customWidth="1"/>
    <col min="12558" max="12558" width="12.5703125" customWidth="1"/>
    <col min="12559" max="12559" width="13.28515625" customWidth="1"/>
    <col min="12560" max="12560" width="14.28515625" customWidth="1"/>
    <col min="12561" max="12561" width="14.42578125" customWidth="1"/>
    <col min="12801" max="12801" width="77.140625" customWidth="1"/>
    <col min="12802" max="12802" width="16.28515625" customWidth="1"/>
    <col min="12803" max="12803" width="13.5703125" customWidth="1"/>
    <col min="12804" max="12804" width="14.140625" customWidth="1"/>
    <col min="12805" max="12805" width="11.140625" customWidth="1"/>
    <col min="12806" max="12806" width="10.42578125" customWidth="1"/>
    <col min="12807" max="12808" width="12.42578125" customWidth="1"/>
    <col min="12809" max="12809" width="11.28515625" customWidth="1"/>
    <col min="12810" max="12810" width="12" customWidth="1"/>
    <col min="12811" max="12811" width="11.42578125" customWidth="1"/>
    <col min="12812" max="12812" width="12.85546875" customWidth="1"/>
    <col min="12813" max="12813" width="11.42578125" customWidth="1"/>
    <col min="12814" max="12814" width="12.5703125" customWidth="1"/>
    <col min="12815" max="12815" width="13.28515625" customWidth="1"/>
    <col min="12816" max="12816" width="14.28515625" customWidth="1"/>
    <col min="12817" max="12817" width="14.42578125" customWidth="1"/>
    <col min="13057" max="13057" width="77.140625" customWidth="1"/>
    <col min="13058" max="13058" width="16.28515625" customWidth="1"/>
    <col min="13059" max="13059" width="13.5703125" customWidth="1"/>
    <col min="13060" max="13060" width="14.140625" customWidth="1"/>
    <col min="13061" max="13061" width="11.140625" customWidth="1"/>
    <col min="13062" max="13062" width="10.42578125" customWidth="1"/>
    <col min="13063" max="13064" width="12.42578125" customWidth="1"/>
    <col min="13065" max="13065" width="11.28515625" customWidth="1"/>
    <col min="13066" max="13066" width="12" customWidth="1"/>
    <col min="13067" max="13067" width="11.42578125" customWidth="1"/>
    <col min="13068" max="13068" width="12.85546875" customWidth="1"/>
    <col min="13069" max="13069" width="11.42578125" customWidth="1"/>
    <col min="13070" max="13070" width="12.5703125" customWidth="1"/>
    <col min="13071" max="13071" width="13.28515625" customWidth="1"/>
    <col min="13072" max="13072" width="14.28515625" customWidth="1"/>
    <col min="13073" max="13073" width="14.42578125" customWidth="1"/>
    <col min="13313" max="13313" width="77.140625" customWidth="1"/>
    <col min="13314" max="13314" width="16.28515625" customWidth="1"/>
    <col min="13315" max="13315" width="13.5703125" customWidth="1"/>
    <col min="13316" max="13316" width="14.140625" customWidth="1"/>
    <col min="13317" max="13317" width="11.140625" customWidth="1"/>
    <col min="13318" max="13318" width="10.42578125" customWidth="1"/>
    <col min="13319" max="13320" width="12.42578125" customWidth="1"/>
    <col min="13321" max="13321" width="11.28515625" customWidth="1"/>
    <col min="13322" max="13322" width="12" customWidth="1"/>
    <col min="13323" max="13323" width="11.42578125" customWidth="1"/>
    <col min="13324" max="13324" width="12.85546875" customWidth="1"/>
    <col min="13325" max="13325" width="11.42578125" customWidth="1"/>
    <col min="13326" max="13326" width="12.5703125" customWidth="1"/>
    <col min="13327" max="13327" width="13.28515625" customWidth="1"/>
    <col min="13328" max="13328" width="14.28515625" customWidth="1"/>
    <col min="13329" max="13329" width="14.42578125" customWidth="1"/>
    <col min="13569" max="13569" width="77.140625" customWidth="1"/>
    <col min="13570" max="13570" width="16.28515625" customWidth="1"/>
    <col min="13571" max="13571" width="13.5703125" customWidth="1"/>
    <col min="13572" max="13572" width="14.140625" customWidth="1"/>
    <col min="13573" max="13573" width="11.140625" customWidth="1"/>
    <col min="13574" max="13574" width="10.42578125" customWidth="1"/>
    <col min="13575" max="13576" width="12.42578125" customWidth="1"/>
    <col min="13577" max="13577" width="11.28515625" customWidth="1"/>
    <col min="13578" max="13578" width="12" customWidth="1"/>
    <col min="13579" max="13579" width="11.42578125" customWidth="1"/>
    <col min="13580" max="13580" width="12.85546875" customWidth="1"/>
    <col min="13581" max="13581" width="11.42578125" customWidth="1"/>
    <col min="13582" max="13582" width="12.5703125" customWidth="1"/>
    <col min="13583" max="13583" width="13.28515625" customWidth="1"/>
    <col min="13584" max="13584" width="14.28515625" customWidth="1"/>
    <col min="13585" max="13585" width="14.42578125" customWidth="1"/>
    <col min="13825" max="13825" width="77.140625" customWidth="1"/>
    <col min="13826" max="13826" width="16.28515625" customWidth="1"/>
    <col min="13827" max="13827" width="13.5703125" customWidth="1"/>
    <col min="13828" max="13828" width="14.140625" customWidth="1"/>
    <col min="13829" max="13829" width="11.140625" customWidth="1"/>
    <col min="13830" max="13830" width="10.42578125" customWidth="1"/>
    <col min="13831" max="13832" width="12.42578125" customWidth="1"/>
    <col min="13833" max="13833" width="11.28515625" customWidth="1"/>
    <col min="13834" max="13834" width="12" customWidth="1"/>
    <col min="13835" max="13835" width="11.42578125" customWidth="1"/>
    <col min="13836" max="13836" width="12.85546875" customWidth="1"/>
    <col min="13837" max="13837" width="11.42578125" customWidth="1"/>
    <col min="13838" max="13838" width="12.5703125" customWidth="1"/>
    <col min="13839" max="13839" width="13.28515625" customWidth="1"/>
    <col min="13840" max="13840" width="14.28515625" customWidth="1"/>
    <col min="13841" max="13841" width="14.42578125" customWidth="1"/>
    <col min="14081" max="14081" width="77.140625" customWidth="1"/>
    <col min="14082" max="14082" width="16.28515625" customWidth="1"/>
    <col min="14083" max="14083" width="13.5703125" customWidth="1"/>
    <col min="14084" max="14084" width="14.140625" customWidth="1"/>
    <col min="14085" max="14085" width="11.140625" customWidth="1"/>
    <col min="14086" max="14086" width="10.42578125" customWidth="1"/>
    <col min="14087" max="14088" width="12.42578125" customWidth="1"/>
    <col min="14089" max="14089" width="11.28515625" customWidth="1"/>
    <col min="14090" max="14090" width="12" customWidth="1"/>
    <col min="14091" max="14091" width="11.42578125" customWidth="1"/>
    <col min="14092" max="14092" width="12.85546875" customWidth="1"/>
    <col min="14093" max="14093" width="11.42578125" customWidth="1"/>
    <col min="14094" max="14094" width="12.5703125" customWidth="1"/>
    <col min="14095" max="14095" width="13.28515625" customWidth="1"/>
    <col min="14096" max="14096" width="14.28515625" customWidth="1"/>
    <col min="14097" max="14097" width="14.42578125" customWidth="1"/>
    <col min="14337" max="14337" width="77.140625" customWidth="1"/>
    <col min="14338" max="14338" width="16.28515625" customWidth="1"/>
    <col min="14339" max="14339" width="13.5703125" customWidth="1"/>
    <col min="14340" max="14340" width="14.140625" customWidth="1"/>
    <col min="14341" max="14341" width="11.140625" customWidth="1"/>
    <col min="14342" max="14342" width="10.42578125" customWidth="1"/>
    <col min="14343" max="14344" width="12.42578125" customWidth="1"/>
    <col min="14345" max="14345" width="11.28515625" customWidth="1"/>
    <col min="14346" max="14346" width="12" customWidth="1"/>
    <col min="14347" max="14347" width="11.42578125" customWidth="1"/>
    <col min="14348" max="14348" width="12.85546875" customWidth="1"/>
    <col min="14349" max="14349" width="11.42578125" customWidth="1"/>
    <col min="14350" max="14350" width="12.5703125" customWidth="1"/>
    <col min="14351" max="14351" width="13.28515625" customWidth="1"/>
    <col min="14352" max="14352" width="14.28515625" customWidth="1"/>
    <col min="14353" max="14353" width="14.42578125" customWidth="1"/>
    <col min="14593" max="14593" width="77.140625" customWidth="1"/>
    <col min="14594" max="14594" width="16.28515625" customWidth="1"/>
    <col min="14595" max="14595" width="13.5703125" customWidth="1"/>
    <col min="14596" max="14596" width="14.140625" customWidth="1"/>
    <col min="14597" max="14597" width="11.140625" customWidth="1"/>
    <col min="14598" max="14598" width="10.42578125" customWidth="1"/>
    <col min="14599" max="14600" width="12.42578125" customWidth="1"/>
    <col min="14601" max="14601" width="11.28515625" customWidth="1"/>
    <col min="14602" max="14602" width="12" customWidth="1"/>
    <col min="14603" max="14603" width="11.42578125" customWidth="1"/>
    <col min="14604" max="14604" width="12.85546875" customWidth="1"/>
    <col min="14605" max="14605" width="11.42578125" customWidth="1"/>
    <col min="14606" max="14606" width="12.5703125" customWidth="1"/>
    <col min="14607" max="14607" width="13.28515625" customWidth="1"/>
    <col min="14608" max="14608" width="14.28515625" customWidth="1"/>
    <col min="14609" max="14609" width="14.42578125" customWidth="1"/>
    <col min="14849" max="14849" width="77.140625" customWidth="1"/>
    <col min="14850" max="14850" width="16.28515625" customWidth="1"/>
    <col min="14851" max="14851" width="13.5703125" customWidth="1"/>
    <col min="14852" max="14852" width="14.140625" customWidth="1"/>
    <col min="14853" max="14853" width="11.140625" customWidth="1"/>
    <col min="14854" max="14854" width="10.42578125" customWidth="1"/>
    <col min="14855" max="14856" width="12.42578125" customWidth="1"/>
    <col min="14857" max="14857" width="11.28515625" customWidth="1"/>
    <col min="14858" max="14858" width="12" customWidth="1"/>
    <col min="14859" max="14859" width="11.42578125" customWidth="1"/>
    <col min="14860" max="14860" width="12.85546875" customWidth="1"/>
    <col min="14861" max="14861" width="11.42578125" customWidth="1"/>
    <col min="14862" max="14862" width="12.5703125" customWidth="1"/>
    <col min="14863" max="14863" width="13.28515625" customWidth="1"/>
    <col min="14864" max="14864" width="14.28515625" customWidth="1"/>
    <col min="14865" max="14865" width="14.42578125" customWidth="1"/>
    <col min="15105" max="15105" width="77.140625" customWidth="1"/>
    <col min="15106" max="15106" width="16.28515625" customWidth="1"/>
    <col min="15107" max="15107" width="13.5703125" customWidth="1"/>
    <col min="15108" max="15108" width="14.140625" customWidth="1"/>
    <col min="15109" max="15109" width="11.140625" customWidth="1"/>
    <col min="15110" max="15110" width="10.42578125" customWidth="1"/>
    <col min="15111" max="15112" width="12.42578125" customWidth="1"/>
    <col min="15113" max="15113" width="11.28515625" customWidth="1"/>
    <col min="15114" max="15114" width="12" customWidth="1"/>
    <col min="15115" max="15115" width="11.42578125" customWidth="1"/>
    <col min="15116" max="15116" width="12.85546875" customWidth="1"/>
    <col min="15117" max="15117" width="11.42578125" customWidth="1"/>
    <col min="15118" max="15118" width="12.5703125" customWidth="1"/>
    <col min="15119" max="15119" width="13.28515625" customWidth="1"/>
    <col min="15120" max="15120" width="14.28515625" customWidth="1"/>
    <col min="15121" max="15121" width="14.42578125" customWidth="1"/>
    <col min="15361" max="15361" width="77.140625" customWidth="1"/>
    <col min="15362" max="15362" width="16.28515625" customWidth="1"/>
    <col min="15363" max="15363" width="13.5703125" customWidth="1"/>
    <col min="15364" max="15364" width="14.140625" customWidth="1"/>
    <col min="15365" max="15365" width="11.140625" customWidth="1"/>
    <col min="15366" max="15366" width="10.42578125" customWidth="1"/>
    <col min="15367" max="15368" width="12.42578125" customWidth="1"/>
    <col min="15369" max="15369" width="11.28515625" customWidth="1"/>
    <col min="15370" max="15370" width="12" customWidth="1"/>
    <col min="15371" max="15371" width="11.42578125" customWidth="1"/>
    <col min="15372" max="15372" width="12.85546875" customWidth="1"/>
    <col min="15373" max="15373" width="11.42578125" customWidth="1"/>
    <col min="15374" max="15374" width="12.5703125" customWidth="1"/>
    <col min="15375" max="15375" width="13.28515625" customWidth="1"/>
    <col min="15376" max="15376" width="14.28515625" customWidth="1"/>
    <col min="15377" max="15377" width="14.42578125" customWidth="1"/>
    <col min="15617" max="15617" width="77.140625" customWidth="1"/>
    <col min="15618" max="15618" width="16.28515625" customWidth="1"/>
    <col min="15619" max="15619" width="13.5703125" customWidth="1"/>
    <col min="15620" max="15620" width="14.140625" customWidth="1"/>
    <col min="15621" max="15621" width="11.140625" customWidth="1"/>
    <col min="15622" max="15622" width="10.42578125" customWidth="1"/>
    <col min="15623" max="15624" width="12.42578125" customWidth="1"/>
    <col min="15625" max="15625" width="11.28515625" customWidth="1"/>
    <col min="15626" max="15626" width="12" customWidth="1"/>
    <col min="15627" max="15627" width="11.42578125" customWidth="1"/>
    <col min="15628" max="15628" width="12.85546875" customWidth="1"/>
    <col min="15629" max="15629" width="11.42578125" customWidth="1"/>
    <col min="15630" max="15630" width="12.5703125" customWidth="1"/>
    <col min="15631" max="15631" width="13.28515625" customWidth="1"/>
    <col min="15632" max="15632" width="14.28515625" customWidth="1"/>
    <col min="15633" max="15633" width="14.42578125" customWidth="1"/>
    <col min="15873" max="15873" width="77.140625" customWidth="1"/>
    <col min="15874" max="15874" width="16.28515625" customWidth="1"/>
    <col min="15875" max="15875" width="13.5703125" customWidth="1"/>
    <col min="15876" max="15876" width="14.140625" customWidth="1"/>
    <col min="15877" max="15877" width="11.140625" customWidth="1"/>
    <col min="15878" max="15878" width="10.42578125" customWidth="1"/>
    <col min="15879" max="15880" width="12.42578125" customWidth="1"/>
    <col min="15881" max="15881" width="11.28515625" customWidth="1"/>
    <col min="15882" max="15882" width="12" customWidth="1"/>
    <col min="15883" max="15883" width="11.42578125" customWidth="1"/>
    <col min="15884" max="15884" width="12.85546875" customWidth="1"/>
    <col min="15885" max="15885" width="11.42578125" customWidth="1"/>
    <col min="15886" max="15886" width="12.5703125" customWidth="1"/>
    <col min="15887" max="15887" width="13.28515625" customWidth="1"/>
    <col min="15888" max="15888" width="14.28515625" customWidth="1"/>
    <col min="15889" max="15889" width="14.42578125" customWidth="1"/>
    <col min="16129" max="16129" width="77.140625" customWidth="1"/>
    <col min="16130" max="16130" width="16.28515625" customWidth="1"/>
    <col min="16131" max="16131" width="13.5703125" customWidth="1"/>
    <col min="16132" max="16132" width="14.140625" customWidth="1"/>
    <col min="16133" max="16133" width="11.140625" customWidth="1"/>
    <col min="16134" max="16134" width="10.42578125" customWidth="1"/>
    <col min="16135" max="16136" width="12.42578125" customWidth="1"/>
    <col min="16137" max="16137" width="11.28515625" customWidth="1"/>
    <col min="16138" max="16138" width="12" customWidth="1"/>
    <col min="16139" max="16139" width="11.42578125" customWidth="1"/>
    <col min="16140" max="16140" width="12.85546875" customWidth="1"/>
    <col min="16141" max="16141" width="11.42578125" customWidth="1"/>
    <col min="16142" max="16142" width="12.5703125" customWidth="1"/>
    <col min="16143" max="16143" width="13.28515625" customWidth="1"/>
    <col min="16144" max="16144" width="14.28515625" customWidth="1"/>
    <col min="16145" max="16145" width="14.42578125" customWidth="1"/>
  </cols>
  <sheetData>
    <row r="1" spans="1:17" ht="18" x14ac:dyDescent="0.25">
      <c r="A1" s="1" t="s">
        <v>295</v>
      </c>
    </row>
    <row r="2" spans="1:17" x14ac:dyDescent="0.25">
      <c r="A2" s="2" t="s">
        <v>0</v>
      </c>
    </row>
    <row r="4" spans="1:17" ht="93.75" thickBot="1" x14ac:dyDescent="0.3">
      <c r="A4" s="3" t="s">
        <v>1</v>
      </c>
      <c r="B4" s="459"/>
      <c r="C4" s="459"/>
      <c r="D4" s="460" t="s">
        <v>296</v>
      </c>
      <c r="E4" s="460" t="s">
        <v>297</v>
      </c>
      <c r="F4" s="460" t="s">
        <v>298</v>
      </c>
      <c r="G4" s="460" t="s">
        <v>2</v>
      </c>
      <c r="H4" s="460" t="s">
        <v>299</v>
      </c>
      <c r="I4" s="460" t="s">
        <v>300</v>
      </c>
      <c r="J4" s="460" t="s">
        <v>301</v>
      </c>
      <c r="K4" s="460" t="s">
        <v>302</v>
      </c>
      <c r="L4" s="461" t="s">
        <v>303</v>
      </c>
      <c r="M4" s="460" t="s">
        <v>7</v>
      </c>
      <c r="N4" s="462" t="s">
        <v>304</v>
      </c>
      <c r="O4" s="463"/>
      <c r="P4" s="459"/>
      <c r="Q4" s="464"/>
    </row>
    <row r="5" spans="1:17" x14ac:dyDescent="0.25">
      <c r="A5" s="9"/>
      <c r="B5" s="14" t="s">
        <v>8</v>
      </c>
      <c r="C5" s="14" t="s">
        <v>305</v>
      </c>
      <c r="D5" s="15"/>
      <c r="E5" s="15"/>
      <c r="F5" s="15"/>
      <c r="G5" s="15"/>
      <c r="H5" s="15"/>
      <c r="I5" s="15"/>
      <c r="J5" s="15"/>
      <c r="K5" s="15"/>
      <c r="L5" s="465"/>
      <c r="M5" s="15"/>
      <c r="N5" s="466"/>
      <c r="O5" s="16" t="s">
        <v>10</v>
      </c>
      <c r="P5" s="14" t="s">
        <v>11</v>
      </c>
      <c r="Q5" s="17" t="s">
        <v>12</v>
      </c>
    </row>
    <row r="6" spans="1:17" x14ac:dyDescent="0.25">
      <c r="A6" s="9"/>
      <c r="B6" s="14" t="s">
        <v>13</v>
      </c>
      <c r="C6" s="14" t="s">
        <v>14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5">
        <v>6</v>
      </c>
      <c r="J6" s="15">
        <v>7</v>
      </c>
      <c r="K6" s="15">
        <v>8</v>
      </c>
      <c r="L6" s="465">
        <v>9</v>
      </c>
      <c r="M6" s="15">
        <v>10</v>
      </c>
      <c r="N6" s="466">
        <v>11</v>
      </c>
      <c r="O6" s="16" t="s">
        <v>15</v>
      </c>
      <c r="P6" s="14" t="s">
        <v>16</v>
      </c>
      <c r="Q6" s="17" t="s">
        <v>17</v>
      </c>
    </row>
    <row r="7" spans="1:17" ht="15.75" thickBot="1" x14ac:dyDescent="0.3">
      <c r="A7" s="9"/>
      <c r="B7" s="14"/>
      <c r="C7" s="14"/>
      <c r="D7" s="15"/>
      <c r="E7" s="15"/>
      <c r="F7" s="15"/>
      <c r="G7" s="15"/>
      <c r="H7" s="15"/>
      <c r="I7" s="15"/>
      <c r="J7" s="15"/>
      <c r="K7" s="15"/>
      <c r="L7" s="465"/>
      <c r="M7" s="15"/>
      <c r="N7" s="466"/>
      <c r="O7" s="16">
        <v>2016</v>
      </c>
      <c r="P7" s="14" t="s">
        <v>18</v>
      </c>
      <c r="Q7" s="17">
        <v>2016</v>
      </c>
    </row>
    <row r="8" spans="1:17" x14ac:dyDescent="0.25">
      <c r="A8" s="19" t="s">
        <v>19</v>
      </c>
      <c r="B8" s="20"/>
      <c r="C8" s="20"/>
      <c r="D8" s="21"/>
      <c r="E8" s="21"/>
      <c r="F8" s="21"/>
      <c r="G8" s="21"/>
      <c r="H8" s="21"/>
      <c r="I8" s="21"/>
      <c r="J8" s="21"/>
      <c r="K8" s="21"/>
      <c r="L8" s="467"/>
      <c r="M8" s="21"/>
      <c r="N8" s="468"/>
      <c r="O8" s="23"/>
      <c r="P8" s="20"/>
      <c r="Q8" s="24"/>
    </row>
    <row r="9" spans="1:17" x14ac:dyDescent="0.25">
      <c r="A9" s="25" t="s">
        <v>20</v>
      </c>
      <c r="B9" s="560">
        <v>693272371</v>
      </c>
      <c r="C9" s="560">
        <v>693272371</v>
      </c>
      <c r="D9" s="561"/>
      <c r="E9" s="561">
        <v>-630930</v>
      </c>
      <c r="F9" s="561">
        <v>-171652</v>
      </c>
      <c r="G9" s="561">
        <v>19296370</v>
      </c>
      <c r="H9" s="561">
        <v>9500000</v>
      </c>
      <c r="I9" s="561">
        <v>6658393</v>
      </c>
      <c r="J9" s="561">
        <v>6150793</v>
      </c>
      <c r="K9" s="561">
        <v>9580344</v>
      </c>
      <c r="L9" s="571">
        <v>2029278</v>
      </c>
      <c r="M9" s="561">
        <v>6250194</v>
      </c>
      <c r="N9" s="572"/>
      <c r="O9" s="562">
        <v>58662790</v>
      </c>
      <c r="P9" s="560">
        <v>58662790</v>
      </c>
      <c r="Q9" s="563">
        <v>751935161</v>
      </c>
    </row>
    <row r="10" spans="1:17" x14ac:dyDescent="0.25">
      <c r="A10" s="25" t="s">
        <v>21</v>
      </c>
      <c r="B10" s="560"/>
      <c r="C10" s="560"/>
      <c r="D10" s="561"/>
      <c r="E10" s="561"/>
      <c r="F10" s="561"/>
      <c r="G10" s="561"/>
      <c r="H10" s="561"/>
      <c r="I10" s="561"/>
      <c r="J10" s="561"/>
      <c r="K10" s="561"/>
      <c r="L10" s="571"/>
      <c r="M10" s="561"/>
      <c r="N10" s="572"/>
      <c r="O10" s="562"/>
      <c r="P10" s="560"/>
      <c r="Q10" s="563"/>
    </row>
    <row r="11" spans="1:17" x14ac:dyDescent="0.25">
      <c r="A11" s="26" t="s">
        <v>306</v>
      </c>
      <c r="B11" s="564">
        <v>693272371</v>
      </c>
      <c r="C11" s="565">
        <v>693272371</v>
      </c>
      <c r="D11" s="566"/>
      <c r="E11" s="566">
        <v>-630930</v>
      </c>
      <c r="F11" s="566">
        <v>-171652</v>
      </c>
      <c r="G11" s="566">
        <v>19296370</v>
      </c>
      <c r="H11" s="566">
        <v>9500000</v>
      </c>
      <c r="I11" s="566">
        <v>6658393</v>
      </c>
      <c r="J11" s="566">
        <v>6150793</v>
      </c>
      <c r="K11" s="566">
        <v>9580344</v>
      </c>
      <c r="L11" s="573">
        <v>2029278</v>
      </c>
      <c r="M11" s="566">
        <v>6250194</v>
      </c>
      <c r="N11" s="574"/>
      <c r="O11" s="567">
        <v>58662790</v>
      </c>
      <c r="P11" s="565">
        <v>58662790</v>
      </c>
      <c r="Q11" s="568">
        <v>751935161</v>
      </c>
    </row>
    <row r="12" spans="1:17" x14ac:dyDescent="0.25">
      <c r="A12" s="26" t="s">
        <v>307</v>
      </c>
      <c r="B12" s="564">
        <v>693272371</v>
      </c>
      <c r="C12" s="565">
        <v>693272371</v>
      </c>
      <c r="D12" s="566"/>
      <c r="E12" s="566">
        <v>-630930</v>
      </c>
      <c r="F12" s="566">
        <v>-171652</v>
      </c>
      <c r="G12" s="566">
        <v>19296370</v>
      </c>
      <c r="H12" s="566">
        <v>9500000</v>
      </c>
      <c r="I12" s="566">
        <v>6658393</v>
      </c>
      <c r="J12" s="566">
        <v>6150793</v>
      </c>
      <c r="K12" s="566">
        <v>9580344</v>
      </c>
      <c r="L12" s="573">
        <v>2029278</v>
      </c>
      <c r="M12" s="566">
        <v>6250194</v>
      </c>
      <c r="N12" s="574"/>
      <c r="O12" s="567">
        <v>58662790</v>
      </c>
      <c r="P12" s="565">
        <v>58662790</v>
      </c>
      <c r="Q12" s="568">
        <v>751935161</v>
      </c>
    </row>
    <row r="13" spans="1:17" x14ac:dyDescent="0.25">
      <c r="A13" s="28" t="s">
        <v>29</v>
      </c>
      <c r="B13" s="560"/>
      <c r="C13" s="565"/>
      <c r="D13" s="570"/>
      <c r="E13" s="570"/>
      <c r="F13" s="570"/>
      <c r="G13" s="570"/>
      <c r="H13" s="570"/>
      <c r="I13" s="570"/>
      <c r="J13" s="570"/>
      <c r="K13" s="570"/>
      <c r="L13" s="575"/>
      <c r="M13" s="570"/>
      <c r="N13" s="576"/>
      <c r="O13" s="567"/>
      <c r="P13" s="565"/>
      <c r="Q13" s="568"/>
    </row>
    <row r="14" spans="1:17" x14ac:dyDescent="0.25">
      <c r="A14" s="26" t="s">
        <v>308</v>
      </c>
      <c r="B14" s="564">
        <v>405961467</v>
      </c>
      <c r="C14" s="565">
        <v>405961467</v>
      </c>
      <c r="D14" s="566"/>
      <c r="E14" s="566"/>
      <c r="F14" s="566"/>
      <c r="G14" s="566">
        <v>14285863</v>
      </c>
      <c r="H14" s="566"/>
      <c r="I14" s="566">
        <v>2894315</v>
      </c>
      <c r="J14" s="566">
        <v>4556143</v>
      </c>
      <c r="K14" s="566">
        <v>7096551</v>
      </c>
      <c r="L14" s="573"/>
      <c r="M14" s="566">
        <v>0</v>
      </c>
      <c r="N14" s="574"/>
      <c r="O14" s="567">
        <v>28832872</v>
      </c>
      <c r="P14" s="565">
        <v>28832872</v>
      </c>
      <c r="Q14" s="568">
        <v>434794339</v>
      </c>
    </row>
    <row r="15" spans="1:17" x14ac:dyDescent="0.25">
      <c r="A15" s="26" t="s">
        <v>309</v>
      </c>
      <c r="B15" s="564">
        <v>379484017</v>
      </c>
      <c r="C15" s="565">
        <v>379484017</v>
      </c>
      <c r="D15" s="566"/>
      <c r="E15" s="566"/>
      <c r="F15" s="566"/>
      <c r="G15" s="566">
        <v>12441289</v>
      </c>
      <c r="H15" s="566"/>
      <c r="I15" s="566">
        <v>2277450</v>
      </c>
      <c r="J15" s="566">
        <v>4556143</v>
      </c>
      <c r="K15" s="566">
        <v>7096551</v>
      </c>
      <c r="L15" s="573"/>
      <c r="M15" s="566">
        <v>0</v>
      </c>
      <c r="N15" s="574"/>
      <c r="O15" s="567">
        <v>26371433</v>
      </c>
      <c r="P15" s="565">
        <v>26371433</v>
      </c>
      <c r="Q15" s="568">
        <v>405855450</v>
      </c>
    </row>
    <row r="16" spans="1:17" x14ac:dyDescent="0.25">
      <c r="A16" s="26" t="s">
        <v>310</v>
      </c>
      <c r="B16" s="564">
        <v>26477450</v>
      </c>
      <c r="C16" s="565">
        <v>26477450</v>
      </c>
      <c r="D16" s="566"/>
      <c r="E16" s="566"/>
      <c r="F16" s="566"/>
      <c r="G16" s="566">
        <v>1844574</v>
      </c>
      <c r="H16" s="566"/>
      <c r="I16" s="566">
        <v>616865</v>
      </c>
      <c r="J16" s="566"/>
      <c r="K16" s="566"/>
      <c r="L16" s="573"/>
      <c r="M16" s="566">
        <v>0</v>
      </c>
      <c r="N16" s="574"/>
      <c r="O16" s="567">
        <v>2461439</v>
      </c>
      <c r="P16" s="565">
        <v>2461439</v>
      </c>
      <c r="Q16" s="568">
        <v>28938889</v>
      </c>
    </row>
    <row r="17" spans="1:17" x14ac:dyDescent="0.25">
      <c r="A17" s="26" t="s">
        <v>311</v>
      </c>
      <c r="B17" s="564">
        <v>135675260</v>
      </c>
      <c r="C17" s="565">
        <v>135675260</v>
      </c>
      <c r="D17" s="566"/>
      <c r="E17" s="566"/>
      <c r="F17" s="566"/>
      <c r="G17" s="566">
        <v>4883987</v>
      </c>
      <c r="H17" s="566"/>
      <c r="I17" s="566">
        <v>984067</v>
      </c>
      <c r="J17" s="566">
        <v>1549089</v>
      </c>
      <c r="K17" s="566">
        <v>2412827</v>
      </c>
      <c r="L17" s="573"/>
      <c r="M17" s="566">
        <v>482438</v>
      </c>
      <c r="N17" s="574"/>
      <c r="O17" s="567">
        <v>10312408</v>
      </c>
      <c r="P17" s="565">
        <v>10312408</v>
      </c>
      <c r="Q17" s="568">
        <v>145987668</v>
      </c>
    </row>
    <row r="18" spans="1:17" x14ac:dyDescent="0.25">
      <c r="A18" s="26" t="s">
        <v>312</v>
      </c>
      <c r="B18" s="564">
        <v>3794842</v>
      </c>
      <c r="C18" s="565">
        <v>3794842</v>
      </c>
      <c r="D18" s="566"/>
      <c r="E18" s="566"/>
      <c r="F18" s="566"/>
      <c r="G18" s="566">
        <v>126520</v>
      </c>
      <c r="H18" s="566"/>
      <c r="I18" s="566">
        <v>22774</v>
      </c>
      <c r="J18" s="566">
        <v>45561</v>
      </c>
      <c r="K18" s="566">
        <v>70966</v>
      </c>
      <c r="L18" s="573">
        <v>2029278</v>
      </c>
      <c r="M18" s="566">
        <v>-72</v>
      </c>
      <c r="N18" s="574"/>
      <c r="O18" s="567">
        <v>2295027</v>
      </c>
      <c r="P18" s="565">
        <v>2295027</v>
      </c>
      <c r="Q18" s="568">
        <v>6089869</v>
      </c>
    </row>
    <row r="19" spans="1:17" x14ac:dyDescent="0.25">
      <c r="A19" s="26" t="s">
        <v>30</v>
      </c>
      <c r="B19" s="564">
        <v>118718030</v>
      </c>
      <c r="C19" s="565">
        <v>118718030</v>
      </c>
      <c r="D19" s="566"/>
      <c r="E19" s="566"/>
      <c r="F19" s="566">
        <v>-171652</v>
      </c>
      <c r="G19" s="566"/>
      <c r="H19" s="566">
        <v>9500000</v>
      </c>
      <c r="I19" s="566">
        <v>2757237</v>
      </c>
      <c r="J19" s="566"/>
      <c r="K19" s="566"/>
      <c r="L19" s="573"/>
      <c r="M19" s="566">
        <v>2246034</v>
      </c>
      <c r="N19" s="574"/>
      <c r="O19" s="567">
        <v>14331619</v>
      </c>
      <c r="P19" s="565">
        <v>14331619</v>
      </c>
      <c r="Q19" s="568">
        <v>133049649</v>
      </c>
    </row>
    <row r="20" spans="1:17" x14ac:dyDescent="0.25">
      <c r="A20" s="26" t="s">
        <v>313</v>
      </c>
      <c r="B20" s="578">
        <v>959</v>
      </c>
      <c r="C20" s="580">
        <v>959</v>
      </c>
      <c r="D20" s="582"/>
      <c r="E20" s="582"/>
      <c r="F20" s="582"/>
      <c r="G20" s="582"/>
      <c r="H20" s="582"/>
      <c r="I20" s="582">
        <v>4</v>
      </c>
      <c r="J20" s="582">
        <v>15</v>
      </c>
      <c r="K20" s="582"/>
      <c r="L20" s="583"/>
      <c r="M20" s="582">
        <v>0</v>
      </c>
      <c r="N20" s="584"/>
      <c r="O20" s="585">
        <v>19</v>
      </c>
      <c r="P20" s="580">
        <v>19</v>
      </c>
      <c r="Q20" s="581">
        <v>978</v>
      </c>
    </row>
    <row r="21" spans="1:17" x14ac:dyDescent="0.25">
      <c r="A21" s="26" t="s">
        <v>314</v>
      </c>
      <c r="B21" s="564">
        <v>379484017</v>
      </c>
      <c r="C21" s="565">
        <v>379484017</v>
      </c>
      <c r="D21" s="566"/>
      <c r="E21" s="566"/>
      <c r="F21" s="566"/>
      <c r="G21" s="566">
        <v>12441289</v>
      </c>
      <c r="H21" s="566"/>
      <c r="I21" s="566">
        <v>2277450</v>
      </c>
      <c r="J21" s="566">
        <v>4556143</v>
      </c>
      <c r="K21" s="566">
        <v>7096551</v>
      </c>
      <c r="L21" s="573"/>
      <c r="M21" s="566">
        <v>0</v>
      </c>
      <c r="N21" s="574"/>
      <c r="O21" s="567">
        <v>26371433</v>
      </c>
      <c r="P21" s="565">
        <v>26371433</v>
      </c>
      <c r="Q21" s="568">
        <v>405855450</v>
      </c>
    </row>
    <row r="22" spans="1:17" x14ac:dyDescent="0.25">
      <c r="A22" s="26" t="s">
        <v>315</v>
      </c>
      <c r="B22" s="564">
        <v>205653285</v>
      </c>
      <c r="C22" s="565">
        <v>205653285</v>
      </c>
      <c r="D22" s="566"/>
      <c r="E22" s="566"/>
      <c r="F22" s="566"/>
      <c r="G22" s="566">
        <v>7226367</v>
      </c>
      <c r="H22" s="566"/>
      <c r="I22" s="566"/>
      <c r="J22" s="566">
        <v>4556143</v>
      </c>
      <c r="K22" s="566">
        <v>3973498</v>
      </c>
      <c r="L22" s="573"/>
      <c r="M22" s="566">
        <v>0</v>
      </c>
      <c r="N22" s="574"/>
      <c r="O22" s="567">
        <v>15756008</v>
      </c>
      <c r="P22" s="565">
        <v>15756008</v>
      </c>
      <c r="Q22" s="568">
        <v>221409293</v>
      </c>
    </row>
    <row r="23" spans="1:17" x14ac:dyDescent="0.25">
      <c r="A23" s="26" t="s">
        <v>316</v>
      </c>
      <c r="B23" s="564">
        <v>173830732</v>
      </c>
      <c r="C23" s="565">
        <v>173830732</v>
      </c>
      <c r="D23" s="566"/>
      <c r="E23" s="566"/>
      <c r="F23" s="566"/>
      <c r="G23" s="566">
        <v>5214922</v>
      </c>
      <c r="H23" s="566"/>
      <c r="I23" s="566">
        <v>2277450</v>
      </c>
      <c r="J23" s="566"/>
      <c r="K23" s="566">
        <v>3123053</v>
      </c>
      <c r="L23" s="573"/>
      <c r="M23" s="566">
        <v>0</v>
      </c>
      <c r="N23" s="574"/>
      <c r="O23" s="567">
        <v>10615425</v>
      </c>
      <c r="P23" s="565">
        <v>10615425</v>
      </c>
      <c r="Q23" s="568">
        <v>184446157</v>
      </c>
    </row>
    <row r="24" spans="1:17" x14ac:dyDescent="0.25">
      <c r="A24" s="26" t="s">
        <v>317</v>
      </c>
      <c r="B24" s="564">
        <v>158238351</v>
      </c>
      <c r="C24" s="565">
        <v>158238351</v>
      </c>
      <c r="D24" s="566">
        <v>144434544</v>
      </c>
      <c r="E24" s="566"/>
      <c r="F24" s="566"/>
      <c r="G24" s="566">
        <v>10551070</v>
      </c>
      <c r="H24" s="566"/>
      <c r="I24" s="566">
        <v>2277450</v>
      </c>
      <c r="J24" s="566">
        <v>4100529</v>
      </c>
      <c r="K24" s="566">
        <v>7096551</v>
      </c>
      <c r="L24" s="573"/>
      <c r="M24" s="566">
        <v>0</v>
      </c>
      <c r="N24" s="574">
        <v>42212955</v>
      </c>
      <c r="O24" s="567">
        <v>210673099</v>
      </c>
      <c r="P24" s="565">
        <v>210673099</v>
      </c>
      <c r="Q24" s="568">
        <v>368911450</v>
      </c>
    </row>
    <row r="25" spans="1:17" x14ac:dyDescent="0.25">
      <c r="A25" s="26" t="s">
        <v>318</v>
      </c>
      <c r="B25" s="564">
        <v>83541642</v>
      </c>
      <c r="C25" s="565">
        <v>83541642</v>
      </c>
      <c r="D25" s="566">
        <v>69737834</v>
      </c>
      <c r="E25" s="566"/>
      <c r="F25" s="566"/>
      <c r="G25" s="566">
        <v>6069267</v>
      </c>
      <c r="H25" s="566"/>
      <c r="I25" s="566"/>
      <c r="J25" s="566">
        <v>4100529</v>
      </c>
      <c r="K25" s="566">
        <v>3973498</v>
      </c>
      <c r="L25" s="573"/>
      <c r="M25" s="566">
        <v>0</v>
      </c>
      <c r="N25" s="574">
        <v>28816523</v>
      </c>
      <c r="O25" s="567">
        <v>112697651</v>
      </c>
      <c r="P25" s="565">
        <v>112697651</v>
      </c>
      <c r="Q25" s="568">
        <v>196239293</v>
      </c>
    </row>
    <row r="26" spans="1:17" x14ac:dyDescent="0.25">
      <c r="A26" s="26" t="s">
        <v>319</v>
      </c>
      <c r="B26" s="564">
        <v>74696709</v>
      </c>
      <c r="C26" s="565">
        <v>74696709</v>
      </c>
      <c r="D26" s="566">
        <v>74696710</v>
      </c>
      <c r="E26" s="566"/>
      <c r="F26" s="566"/>
      <c r="G26" s="566">
        <v>4481803</v>
      </c>
      <c r="H26" s="566"/>
      <c r="I26" s="566">
        <v>2277450</v>
      </c>
      <c r="J26" s="566"/>
      <c r="K26" s="566">
        <v>3123053</v>
      </c>
      <c r="L26" s="573"/>
      <c r="M26" s="566">
        <v>0</v>
      </c>
      <c r="N26" s="574">
        <v>13396432</v>
      </c>
      <c r="O26" s="567">
        <v>97975448</v>
      </c>
      <c r="P26" s="565">
        <v>97975448</v>
      </c>
      <c r="Q26" s="568">
        <v>172672157</v>
      </c>
    </row>
    <row r="27" spans="1:17" x14ac:dyDescent="0.25">
      <c r="A27" s="26" t="s">
        <v>320</v>
      </c>
      <c r="B27" s="564">
        <v>26477450</v>
      </c>
      <c r="C27" s="565">
        <v>26477450</v>
      </c>
      <c r="D27" s="566"/>
      <c r="E27" s="566"/>
      <c r="F27" s="566"/>
      <c r="G27" s="566">
        <v>1844574</v>
      </c>
      <c r="H27" s="566"/>
      <c r="I27" s="566">
        <v>616865</v>
      </c>
      <c r="J27" s="566"/>
      <c r="K27" s="566"/>
      <c r="L27" s="573"/>
      <c r="M27" s="566">
        <v>0</v>
      </c>
      <c r="N27" s="574"/>
      <c r="O27" s="567">
        <v>2461439</v>
      </c>
      <c r="P27" s="565">
        <v>2461439</v>
      </c>
      <c r="Q27" s="568">
        <v>28938889</v>
      </c>
    </row>
    <row r="28" spans="1:17" x14ac:dyDescent="0.25">
      <c r="A28" s="26" t="s">
        <v>321</v>
      </c>
      <c r="B28" s="564">
        <v>18384927</v>
      </c>
      <c r="C28" s="565">
        <v>18384927</v>
      </c>
      <c r="D28" s="566"/>
      <c r="E28" s="566"/>
      <c r="F28" s="566"/>
      <c r="G28" s="566">
        <v>1601798</v>
      </c>
      <c r="H28" s="566"/>
      <c r="I28" s="566"/>
      <c r="J28" s="566"/>
      <c r="K28" s="566"/>
      <c r="L28" s="573"/>
      <c r="M28" s="566">
        <v>0</v>
      </c>
      <c r="N28" s="574"/>
      <c r="O28" s="567">
        <v>1601798</v>
      </c>
      <c r="P28" s="565">
        <v>1601798</v>
      </c>
      <c r="Q28" s="568">
        <v>19986725</v>
      </c>
    </row>
    <row r="29" spans="1:17" x14ac:dyDescent="0.25">
      <c r="A29" s="26" t="s">
        <v>316</v>
      </c>
      <c r="B29" s="564">
        <v>8092523</v>
      </c>
      <c r="C29" s="565">
        <v>8092523</v>
      </c>
      <c r="D29" s="566"/>
      <c r="E29" s="566"/>
      <c r="F29" s="566"/>
      <c r="G29" s="566">
        <v>242776</v>
      </c>
      <c r="H29" s="566"/>
      <c r="I29" s="566">
        <v>616865</v>
      </c>
      <c r="J29" s="566"/>
      <c r="K29" s="566"/>
      <c r="L29" s="573"/>
      <c r="M29" s="566">
        <v>0</v>
      </c>
      <c r="N29" s="574"/>
      <c r="O29" s="567">
        <v>859641</v>
      </c>
      <c r="P29" s="565">
        <v>859641</v>
      </c>
      <c r="Q29" s="568">
        <v>8952164</v>
      </c>
    </row>
    <row r="30" spans="1:17" x14ac:dyDescent="0.25">
      <c r="A30" s="26" t="s">
        <v>322</v>
      </c>
      <c r="B30" s="564">
        <v>1292800</v>
      </c>
      <c r="C30" s="565">
        <v>1292800</v>
      </c>
      <c r="D30" s="566"/>
      <c r="E30" s="566"/>
      <c r="F30" s="566"/>
      <c r="G30" s="566">
        <v>210800</v>
      </c>
      <c r="H30" s="566"/>
      <c r="I30" s="566"/>
      <c r="J30" s="566"/>
      <c r="K30" s="566"/>
      <c r="L30" s="573"/>
      <c r="M30" s="566">
        <v>0</v>
      </c>
      <c r="N30" s="574"/>
      <c r="O30" s="567">
        <v>210800</v>
      </c>
      <c r="P30" s="565">
        <v>210800</v>
      </c>
      <c r="Q30" s="568">
        <v>1503600</v>
      </c>
    </row>
    <row r="31" spans="1:17" x14ac:dyDescent="0.25">
      <c r="A31" s="26" t="s">
        <v>323</v>
      </c>
      <c r="B31" s="578">
        <v>959</v>
      </c>
      <c r="C31" s="580">
        <v>959</v>
      </c>
      <c r="D31" s="582"/>
      <c r="E31" s="582"/>
      <c r="F31" s="582"/>
      <c r="G31" s="582"/>
      <c r="H31" s="582"/>
      <c r="I31" s="582">
        <v>4</v>
      </c>
      <c r="J31" s="582">
        <v>15</v>
      </c>
      <c r="K31" s="582"/>
      <c r="L31" s="583"/>
      <c r="M31" s="582">
        <v>0</v>
      </c>
      <c r="N31" s="584"/>
      <c r="O31" s="585">
        <v>19</v>
      </c>
      <c r="P31" s="580">
        <v>19</v>
      </c>
      <c r="Q31" s="581">
        <v>978</v>
      </c>
    </row>
    <row r="32" spans="1:17" x14ac:dyDescent="0.25">
      <c r="A32" s="26" t="s">
        <v>324</v>
      </c>
      <c r="B32" s="578">
        <v>452</v>
      </c>
      <c r="C32" s="580">
        <v>452</v>
      </c>
      <c r="D32" s="582">
        <v>1</v>
      </c>
      <c r="E32" s="582"/>
      <c r="F32" s="582"/>
      <c r="G32" s="582"/>
      <c r="H32" s="582"/>
      <c r="I32" s="582"/>
      <c r="J32" s="582">
        <v>15</v>
      </c>
      <c r="K32" s="582"/>
      <c r="L32" s="583"/>
      <c r="M32" s="582">
        <v>0</v>
      </c>
      <c r="N32" s="584"/>
      <c r="O32" s="585">
        <v>16</v>
      </c>
      <c r="P32" s="580">
        <v>16</v>
      </c>
      <c r="Q32" s="581">
        <v>468</v>
      </c>
    </row>
    <row r="33" spans="1:17" x14ac:dyDescent="0.25">
      <c r="A33" s="26" t="s">
        <v>325</v>
      </c>
      <c r="B33" s="578">
        <v>196</v>
      </c>
      <c r="C33" s="580">
        <v>196</v>
      </c>
      <c r="D33" s="582">
        <v>157</v>
      </c>
      <c r="E33" s="582"/>
      <c r="F33" s="582"/>
      <c r="G33" s="582"/>
      <c r="H33" s="582"/>
      <c r="I33" s="582"/>
      <c r="J33" s="582">
        <v>14</v>
      </c>
      <c r="K33" s="582"/>
      <c r="L33" s="583"/>
      <c r="M33" s="582">
        <v>0</v>
      </c>
      <c r="N33" s="584">
        <v>51</v>
      </c>
      <c r="O33" s="585">
        <v>222</v>
      </c>
      <c r="P33" s="580">
        <v>222</v>
      </c>
      <c r="Q33" s="581">
        <v>418</v>
      </c>
    </row>
    <row r="34" spans="1:17" x14ac:dyDescent="0.25">
      <c r="A34" s="26" t="s">
        <v>326</v>
      </c>
      <c r="B34" s="578">
        <v>507</v>
      </c>
      <c r="C34" s="580">
        <v>507</v>
      </c>
      <c r="D34" s="582">
        <v>-1</v>
      </c>
      <c r="E34" s="582"/>
      <c r="F34" s="582"/>
      <c r="G34" s="582"/>
      <c r="H34" s="582"/>
      <c r="I34" s="582">
        <v>4</v>
      </c>
      <c r="J34" s="582"/>
      <c r="K34" s="582"/>
      <c r="L34" s="583"/>
      <c r="M34" s="582">
        <v>0</v>
      </c>
      <c r="N34" s="584"/>
      <c r="O34" s="585">
        <v>3</v>
      </c>
      <c r="P34" s="580">
        <v>3</v>
      </c>
      <c r="Q34" s="581">
        <v>510</v>
      </c>
    </row>
    <row r="35" spans="1:17" x14ac:dyDescent="0.25">
      <c r="A35" s="26" t="s">
        <v>327</v>
      </c>
      <c r="B35" s="578">
        <v>201</v>
      </c>
      <c r="C35" s="580">
        <v>201</v>
      </c>
      <c r="D35" s="582">
        <v>200</v>
      </c>
      <c r="E35" s="582"/>
      <c r="F35" s="582"/>
      <c r="G35" s="582"/>
      <c r="H35" s="582"/>
      <c r="I35" s="582">
        <v>4</v>
      </c>
      <c r="J35" s="582"/>
      <c r="K35" s="582"/>
      <c r="L35" s="583"/>
      <c r="M35" s="582">
        <v>0</v>
      </c>
      <c r="N35" s="584">
        <v>57</v>
      </c>
      <c r="O35" s="585">
        <v>261</v>
      </c>
      <c r="P35" s="580">
        <v>261</v>
      </c>
      <c r="Q35" s="581">
        <v>462</v>
      </c>
    </row>
    <row r="36" spans="1:17" x14ac:dyDescent="0.25">
      <c r="A36" s="26" t="s">
        <v>40</v>
      </c>
      <c r="B36" s="564">
        <v>29122772</v>
      </c>
      <c r="C36" s="565">
        <v>29122772</v>
      </c>
      <c r="D36" s="566"/>
      <c r="E36" s="566">
        <v>-630930</v>
      </c>
      <c r="F36" s="566"/>
      <c r="G36" s="566"/>
      <c r="H36" s="566"/>
      <c r="I36" s="566"/>
      <c r="J36" s="566"/>
      <c r="K36" s="566"/>
      <c r="L36" s="573"/>
      <c r="M36" s="566">
        <v>3521794</v>
      </c>
      <c r="N36" s="574"/>
      <c r="O36" s="567">
        <v>2890864</v>
      </c>
      <c r="P36" s="565">
        <v>2890864</v>
      </c>
      <c r="Q36" s="568">
        <v>32013636</v>
      </c>
    </row>
  </sheetData>
  <printOptions horizontalCentered="1"/>
  <pageMargins left="0.70866141732283472" right="0.70866141732283472" top="0.78740157480314965" bottom="0.78740157480314965" header="0.51181102362204722" footer="0.31496062992125984"/>
  <pageSetup paperSize="9" scale="46" orientation="landscape" r:id="rId1"/>
  <headerFooter alignWithMargins="0">
    <oddHeader>&amp;RKapitola C.VI
&amp;"-,Tučné"Tabulka č. 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workbookViewId="0">
      <selection activeCell="I27" sqref="I27"/>
    </sheetView>
  </sheetViews>
  <sheetFormatPr defaultRowHeight="12.75" x14ac:dyDescent="0.2"/>
  <cols>
    <col min="1" max="1" width="57.7109375" style="472" customWidth="1"/>
    <col min="2" max="3" width="14.140625" style="472" bestFit="1" customWidth="1"/>
    <col min="4" max="4" width="13.140625" style="472" customWidth="1"/>
    <col min="5" max="5" width="14.140625" style="472" customWidth="1"/>
    <col min="6" max="6" width="12.7109375" style="472" bestFit="1" customWidth="1"/>
    <col min="7" max="7" width="14.140625" style="472" bestFit="1" customWidth="1"/>
    <col min="8" max="8" width="12.140625" style="472" customWidth="1"/>
    <col min="9" max="9" width="14.140625" style="472" bestFit="1" customWidth="1"/>
    <col min="10" max="11" width="7.42578125" style="472" bestFit="1" customWidth="1"/>
    <col min="12" max="12" width="7.7109375" style="472" bestFit="1" customWidth="1"/>
    <col min="13" max="13" width="13" style="472" customWidth="1"/>
    <col min="14" max="14" width="9.140625" style="472"/>
    <col min="15" max="15" width="11.140625" style="472" bestFit="1" customWidth="1"/>
    <col min="16" max="16" width="9.140625" style="472"/>
    <col min="17" max="17" width="0" style="472" hidden="1" customWidth="1"/>
    <col min="18" max="255" width="9.140625" style="472"/>
    <col min="256" max="256" width="4.28515625" style="472" customWidth="1"/>
    <col min="257" max="257" width="57.7109375" style="472" customWidth="1"/>
    <col min="258" max="259" width="14.140625" style="472" bestFit="1" customWidth="1"/>
    <col min="260" max="260" width="13.140625" style="472" customWidth="1"/>
    <col min="261" max="261" width="14.140625" style="472" customWidth="1"/>
    <col min="262" max="262" width="12.7109375" style="472" bestFit="1" customWidth="1"/>
    <col min="263" max="263" width="14.140625" style="472" bestFit="1" customWidth="1"/>
    <col min="264" max="264" width="12.140625" style="472" customWidth="1"/>
    <col min="265" max="265" width="14.140625" style="472" bestFit="1" customWidth="1"/>
    <col min="266" max="267" width="7.42578125" style="472" bestFit="1" customWidth="1"/>
    <col min="268" max="268" width="7.7109375" style="472" bestFit="1" customWidth="1"/>
    <col min="269" max="269" width="13" style="472" customWidth="1"/>
    <col min="270" max="270" width="9.140625" style="472"/>
    <col min="271" max="271" width="11.140625" style="472" bestFit="1" customWidth="1"/>
    <col min="272" max="272" width="9.140625" style="472"/>
    <col min="273" max="273" width="0" style="472" hidden="1" customWidth="1"/>
    <col min="274" max="511" width="9.140625" style="472"/>
    <col min="512" max="512" width="4.28515625" style="472" customWidth="1"/>
    <col min="513" max="513" width="57.7109375" style="472" customWidth="1"/>
    <col min="514" max="515" width="14.140625" style="472" bestFit="1" customWidth="1"/>
    <col min="516" max="516" width="13.140625" style="472" customWidth="1"/>
    <col min="517" max="517" width="14.140625" style="472" customWidth="1"/>
    <col min="518" max="518" width="12.7109375" style="472" bestFit="1" customWidth="1"/>
    <col min="519" max="519" width="14.140625" style="472" bestFit="1" customWidth="1"/>
    <col min="520" max="520" width="12.140625" style="472" customWidth="1"/>
    <col min="521" max="521" width="14.140625" style="472" bestFit="1" customWidth="1"/>
    <col min="522" max="523" width="7.42578125" style="472" bestFit="1" customWidth="1"/>
    <col min="524" max="524" width="7.7109375" style="472" bestFit="1" customWidth="1"/>
    <col min="525" max="525" width="13" style="472" customWidth="1"/>
    <col min="526" max="526" width="9.140625" style="472"/>
    <col min="527" max="527" width="11.140625" style="472" bestFit="1" customWidth="1"/>
    <col min="528" max="528" width="9.140625" style="472"/>
    <col min="529" max="529" width="0" style="472" hidden="1" customWidth="1"/>
    <col min="530" max="767" width="9.140625" style="472"/>
    <col min="768" max="768" width="4.28515625" style="472" customWidth="1"/>
    <col min="769" max="769" width="57.7109375" style="472" customWidth="1"/>
    <col min="770" max="771" width="14.140625" style="472" bestFit="1" customWidth="1"/>
    <col min="772" max="772" width="13.140625" style="472" customWidth="1"/>
    <col min="773" max="773" width="14.140625" style="472" customWidth="1"/>
    <col min="774" max="774" width="12.7109375" style="472" bestFit="1" customWidth="1"/>
    <col min="775" max="775" width="14.140625" style="472" bestFit="1" customWidth="1"/>
    <col min="776" max="776" width="12.140625" style="472" customWidth="1"/>
    <col min="777" max="777" width="14.140625" style="472" bestFit="1" customWidth="1"/>
    <col min="778" max="779" width="7.42578125" style="472" bestFit="1" customWidth="1"/>
    <col min="780" max="780" width="7.7109375" style="472" bestFit="1" customWidth="1"/>
    <col min="781" max="781" width="13" style="472" customWidth="1"/>
    <col min="782" max="782" width="9.140625" style="472"/>
    <col min="783" max="783" width="11.140625" style="472" bestFit="1" customWidth="1"/>
    <col min="784" max="784" width="9.140625" style="472"/>
    <col min="785" max="785" width="0" style="472" hidden="1" customWidth="1"/>
    <col min="786" max="1023" width="9.140625" style="472"/>
    <col min="1024" max="1024" width="4.28515625" style="472" customWidth="1"/>
    <col min="1025" max="1025" width="57.7109375" style="472" customWidth="1"/>
    <col min="1026" max="1027" width="14.140625" style="472" bestFit="1" customWidth="1"/>
    <col min="1028" max="1028" width="13.140625" style="472" customWidth="1"/>
    <col min="1029" max="1029" width="14.140625" style="472" customWidth="1"/>
    <col min="1030" max="1030" width="12.7109375" style="472" bestFit="1" customWidth="1"/>
    <col min="1031" max="1031" width="14.140625" style="472" bestFit="1" customWidth="1"/>
    <col min="1032" max="1032" width="12.140625" style="472" customWidth="1"/>
    <col min="1033" max="1033" width="14.140625" style="472" bestFit="1" customWidth="1"/>
    <col min="1034" max="1035" width="7.42578125" style="472" bestFit="1" customWidth="1"/>
    <col min="1036" max="1036" width="7.7109375" style="472" bestFit="1" customWidth="1"/>
    <col min="1037" max="1037" width="13" style="472" customWidth="1"/>
    <col min="1038" max="1038" width="9.140625" style="472"/>
    <col min="1039" max="1039" width="11.140625" style="472" bestFit="1" customWidth="1"/>
    <col min="1040" max="1040" width="9.140625" style="472"/>
    <col min="1041" max="1041" width="0" style="472" hidden="1" customWidth="1"/>
    <col min="1042" max="1279" width="9.140625" style="472"/>
    <col min="1280" max="1280" width="4.28515625" style="472" customWidth="1"/>
    <col min="1281" max="1281" width="57.7109375" style="472" customWidth="1"/>
    <col min="1282" max="1283" width="14.140625" style="472" bestFit="1" customWidth="1"/>
    <col min="1284" max="1284" width="13.140625" style="472" customWidth="1"/>
    <col min="1285" max="1285" width="14.140625" style="472" customWidth="1"/>
    <col min="1286" max="1286" width="12.7109375" style="472" bestFit="1" customWidth="1"/>
    <col min="1287" max="1287" width="14.140625" style="472" bestFit="1" customWidth="1"/>
    <col min="1288" max="1288" width="12.140625" style="472" customWidth="1"/>
    <col min="1289" max="1289" width="14.140625" style="472" bestFit="1" customWidth="1"/>
    <col min="1290" max="1291" width="7.42578125" style="472" bestFit="1" customWidth="1"/>
    <col min="1292" max="1292" width="7.7109375" style="472" bestFit="1" customWidth="1"/>
    <col min="1293" max="1293" width="13" style="472" customWidth="1"/>
    <col min="1294" max="1294" width="9.140625" style="472"/>
    <col min="1295" max="1295" width="11.140625" style="472" bestFit="1" customWidth="1"/>
    <col min="1296" max="1296" width="9.140625" style="472"/>
    <col min="1297" max="1297" width="0" style="472" hidden="1" customWidth="1"/>
    <col min="1298" max="1535" width="9.140625" style="472"/>
    <col min="1536" max="1536" width="4.28515625" style="472" customWidth="1"/>
    <col min="1537" max="1537" width="57.7109375" style="472" customWidth="1"/>
    <col min="1538" max="1539" width="14.140625" style="472" bestFit="1" customWidth="1"/>
    <col min="1540" max="1540" width="13.140625" style="472" customWidth="1"/>
    <col min="1541" max="1541" width="14.140625" style="472" customWidth="1"/>
    <col min="1542" max="1542" width="12.7109375" style="472" bestFit="1" customWidth="1"/>
    <col min="1543" max="1543" width="14.140625" style="472" bestFit="1" customWidth="1"/>
    <col min="1544" max="1544" width="12.140625" style="472" customWidth="1"/>
    <col min="1545" max="1545" width="14.140625" style="472" bestFit="1" customWidth="1"/>
    <col min="1546" max="1547" width="7.42578125" style="472" bestFit="1" customWidth="1"/>
    <col min="1548" max="1548" width="7.7109375" style="472" bestFit="1" customWidth="1"/>
    <col min="1549" max="1549" width="13" style="472" customWidth="1"/>
    <col min="1550" max="1550" width="9.140625" style="472"/>
    <col min="1551" max="1551" width="11.140625" style="472" bestFit="1" customWidth="1"/>
    <col min="1552" max="1552" width="9.140625" style="472"/>
    <col min="1553" max="1553" width="0" style="472" hidden="1" customWidth="1"/>
    <col min="1554" max="1791" width="9.140625" style="472"/>
    <col min="1792" max="1792" width="4.28515625" style="472" customWidth="1"/>
    <col min="1793" max="1793" width="57.7109375" style="472" customWidth="1"/>
    <col min="1794" max="1795" width="14.140625" style="472" bestFit="1" customWidth="1"/>
    <col min="1796" max="1796" width="13.140625" style="472" customWidth="1"/>
    <col min="1797" max="1797" width="14.140625" style="472" customWidth="1"/>
    <col min="1798" max="1798" width="12.7109375" style="472" bestFit="1" customWidth="1"/>
    <col min="1799" max="1799" width="14.140625" style="472" bestFit="1" customWidth="1"/>
    <col min="1800" max="1800" width="12.140625" style="472" customWidth="1"/>
    <col min="1801" max="1801" width="14.140625" style="472" bestFit="1" customWidth="1"/>
    <col min="1802" max="1803" width="7.42578125" style="472" bestFit="1" customWidth="1"/>
    <col min="1804" max="1804" width="7.7109375" style="472" bestFit="1" customWidth="1"/>
    <col min="1805" max="1805" width="13" style="472" customWidth="1"/>
    <col min="1806" max="1806" width="9.140625" style="472"/>
    <col min="1807" max="1807" width="11.140625" style="472" bestFit="1" customWidth="1"/>
    <col min="1808" max="1808" width="9.140625" style="472"/>
    <col min="1809" max="1809" width="0" style="472" hidden="1" customWidth="1"/>
    <col min="1810" max="2047" width="9.140625" style="472"/>
    <col min="2048" max="2048" width="4.28515625" style="472" customWidth="1"/>
    <col min="2049" max="2049" width="57.7109375" style="472" customWidth="1"/>
    <col min="2050" max="2051" width="14.140625" style="472" bestFit="1" customWidth="1"/>
    <col min="2052" max="2052" width="13.140625" style="472" customWidth="1"/>
    <col min="2053" max="2053" width="14.140625" style="472" customWidth="1"/>
    <col min="2054" max="2054" width="12.7109375" style="472" bestFit="1" customWidth="1"/>
    <col min="2055" max="2055" width="14.140625" style="472" bestFit="1" customWidth="1"/>
    <col min="2056" max="2056" width="12.140625" style="472" customWidth="1"/>
    <col min="2057" max="2057" width="14.140625" style="472" bestFit="1" customWidth="1"/>
    <col min="2058" max="2059" width="7.42578125" style="472" bestFit="1" customWidth="1"/>
    <col min="2060" max="2060" width="7.7109375" style="472" bestFit="1" customWidth="1"/>
    <col min="2061" max="2061" width="13" style="472" customWidth="1"/>
    <col min="2062" max="2062" width="9.140625" style="472"/>
    <col min="2063" max="2063" width="11.140625" style="472" bestFit="1" customWidth="1"/>
    <col min="2064" max="2064" width="9.140625" style="472"/>
    <col min="2065" max="2065" width="0" style="472" hidden="1" customWidth="1"/>
    <col min="2066" max="2303" width="9.140625" style="472"/>
    <col min="2304" max="2304" width="4.28515625" style="472" customWidth="1"/>
    <col min="2305" max="2305" width="57.7109375" style="472" customWidth="1"/>
    <col min="2306" max="2307" width="14.140625" style="472" bestFit="1" customWidth="1"/>
    <col min="2308" max="2308" width="13.140625" style="472" customWidth="1"/>
    <col min="2309" max="2309" width="14.140625" style="472" customWidth="1"/>
    <col min="2310" max="2310" width="12.7109375" style="472" bestFit="1" customWidth="1"/>
    <col min="2311" max="2311" width="14.140625" style="472" bestFit="1" customWidth="1"/>
    <col min="2312" max="2312" width="12.140625" style="472" customWidth="1"/>
    <col min="2313" max="2313" width="14.140625" style="472" bestFit="1" customWidth="1"/>
    <col min="2314" max="2315" width="7.42578125" style="472" bestFit="1" customWidth="1"/>
    <col min="2316" max="2316" width="7.7109375" style="472" bestFit="1" customWidth="1"/>
    <col min="2317" max="2317" width="13" style="472" customWidth="1"/>
    <col min="2318" max="2318" width="9.140625" style="472"/>
    <col min="2319" max="2319" width="11.140625" style="472" bestFit="1" customWidth="1"/>
    <col min="2320" max="2320" width="9.140625" style="472"/>
    <col min="2321" max="2321" width="0" style="472" hidden="1" customWidth="1"/>
    <col min="2322" max="2559" width="9.140625" style="472"/>
    <col min="2560" max="2560" width="4.28515625" style="472" customWidth="1"/>
    <col min="2561" max="2561" width="57.7109375" style="472" customWidth="1"/>
    <col min="2562" max="2563" width="14.140625" style="472" bestFit="1" customWidth="1"/>
    <col min="2564" max="2564" width="13.140625" style="472" customWidth="1"/>
    <col min="2565" max="2565" width="14.140625" style="472" customWidth="1"/>
    <col min="2566" max="2566" width="12.7109375" style="472" bestFit="1" customWidth="1"/>
    <col min="2567" max="2567" width="14.140625" style="472" bestFit="1" customWidth="1"/>
    <col min="2568" max="2568" width="12.140625" style="472" customWidth="1"/>
    <col min="2569" max="2569" width="14.140625" style="472" bestFit="1" customWidth="1"/>
    <col min="2570" max="2571" width="7.42578125" style="472" bestFit="1" customWidth="1"/>
    <col min="2572" max="2572" width="7.7109375" style="472" bestFit="1" customWidth="1"/>
    <col min="2573" max="2573" width="13" style="472" customWidth="1"/>
    <col min="2574" max="2574" width="9.140625" style="472"/>
    <col min="2575" max="2575" width="11.140625" style="472" bestFit="1" customWidth="1"/>
    <col min="2576" max="2576" width="9.140625" style="472"/>
    <col min="2577" max="2577" width="0" style="472" hidden="1" customWidth="1"/>
    <col min="2578" max="2815" width="9.140625" style="472"/>
    <col min="2816" max="2816" width="4.28515625" style="472" customWidth="1"/>
    <col min="2817" max="2817" width="57.7109375" style="472" customWidth="1"/>
    <col min="2818" max="2819" width="14.140625" style="472" bestFit="1" customWidth="1"/>
    <col min="2820" max="2820" width="13.140625" style="472" customWidth="1"/>
    <col min="2821" max="2821" width="14.140625" style="472" customWidth="1"/>
    <col min="2822" max="2822" width="12.7109375" style="472" bestFit="1" customWidth="1"/>
    <col min="2823" max="2823" width="14.140625" style="472" bestFit="1" customWidth="1"/>
    <col min="2824" max="2824" width="12.140625" style="472" customWidth="1"/>
    <col min="2825" max="2825" width="14.140625" style="472" bestFit="1" customWidth="1"/>
    <col min="2826" max="2827" width="7.42578125" style="472" bestFit="1" customWidth="1"/>
    <col min="2828" max="2828" width="7.7109375" style="472" bestFit="1" customWidth="1"/>
    <col min="2829" max="2829" width="13" style="472" customWidth="1"/>
    <col min="2830" max="2830" width="9.140625" style="472"/>
    <col min="2831" max="2831" width="11.140625" style="472" bestFit="1" customWidth="1"/>
    <col min="2832" max="2832" width="9.140625" style="472"/>
    <col min="2833" max="2833" width="0" style="472" hidden="1" customWidth="1"/>
    <col min="2834" max="3071" width="9.140625" style="472"/>
    <col min="3072" max="3072" width="4.28515625" style="472" customWidth="1"/>
    <col min="3073" max="3073" width="57.7109375" style="472" customWidth="1"/>
    <col min="3074" max="3075" width="14.140625" style="472" bestFit="1" customWidth="1"/>
    <col min="3076" max="3076" width="13.140625" style="472" customWidth="1"/>
    <col min="3077" max="3077" width="14.140625" style="472" customWidth="1"/>
    <col min="3078" max="3078" width="12.7109375" style="472" bestFit="1" customWidth="1"/>
    <col min="3079" max="3079" width="14.140625" style="472" bestFit="1" customWidth="1"/>
    <col min="3080" max="3080" width="12.140625" style="472" customWidth="1"/>
    <col min="3081" max="3081" width="14.140625" style="472" bestFit="1" customWidth="1"/>
    <col min="3082" max="3083" width="7.42578125" style="472" bestFit="1" customWidth="1"/>
    <col min="3084" max="3084" width="7.7109375" style="472" bestFit="1" customWidth="1"/>
    <col min="3085" max="3085" width="13" style="472" customWidth="1"/>
    <col min="3086" max="3086" width="9.140625" style="472"/>
    <col min="3087" max="3087" width="11.140625" style="472" bestFit="1" customWidth="1"/>
    <col min="3088" max="3088" width="9.140625" style="472"/>
    <col min="3089" max="3089" width="0" style="472" hidden="1" customWidth="1"/>
    <col min="3090" max="3327" width="9.140625" style="472"/>
    <col min="3328" max="3328" width="4.28515625" style="472" customWidth="1"/>
    <col min="3329" max="3329" width="57.7109375" style="472" customWidth="1"/>
    <col min="3330" max="3331" width="14.140625" style="472" bestFit="1" customWidth="1"/>
    <col min="3332" max="3332" width="13.140625" style="472" customWidth="1"/>
    <col min="3333" max="3333" width="14.140625" style="472" customWidth="1"/>
    <col min="3334" max="3334" width="12.7109375" style="472" bestFit="1" customWidth="1"/>
    <col min="3335" max="3335" width="14.140625" style="472" bestFit="1" customWidth="1"/>
    <col min="3336" max="3336" width="12.140625" style="472" customWidth="1"/>
    <col min="3337" max="3337" width="14.140625" style="472" bestFit="1" customWidth="1"/>
    <col min="3338" max="3339" width="7.42578125" style="472" bestFit="1" customWidth="1"/>
    <col min="3340" max="3340" width="7.7109375" style="472" bestFit="1" customWidth="1"/>
    <col min="3341" max="3341" width="13" style="472" customWidth="1"/>
    <col min="3342" max="3342" width="9.140625" style="472"/>
    <col min="3343" max="3343" width="11.140625" style="472" bestFit="1" customWidth="1"/>
    <col min="3344" max="3344" width="9.140625" style="472"/>
    <col min="3345" max="3345" width="0" style="472" hidden="1" customWidth="1"/>
    <col min="3346" max="3583" width="9.140625" style="472"/>
    <col min="3584" max="3584" width="4.28515625" style="472" customWidth="1"/>
    <col min="3585" max="3585" width="57.7109375" style="472" customWidth="1"/>
    <col min="3586" max="3587" width="14.140625" style="472" bestFit="1" customWidth="1"/>
    <col min="3588" max="3588" width="13.140625" style="472" customWidth="1"/>
    <col min="3589" max="3589" width="14.140625" style="472" customWidth="1"/>
    <col min="3590" max="3590" width="12.7109375" style="472" bestFit="1" customWidth="1"/>
    <col min="3591" max="3591" width="14.140625" style="472" bestFit="1" customWidth="1"/>
    <col min="3592" max="3592" width="12.140625" style="472" customWidth="1"/>
    <col min="3593" max="3593" width="14.140625" style="472" bestFit="1" customWidth="1"/>
    <col min="3594" max="3595" width="7.42578125" style="472" bestFit="1" customWidth="1"/>
    <col min="3596" max="3596" width="7.7109375" style="472" bestFit="1" customWidth="1"/>
    <col min="3597" max="3597" width="13" style="472" customWidth="1"/>
    <col min="3598" max="3598" width="9.140625" style="472"/>
    <col min="3599" max="3599" width="11.140625" style="472" bestFit="1" customWidth="1"/>
    <col min="3600" max="3600" width="9.140625" style="472"/>
    <col min="3601" max="3601" width="0" style="472" hidden="1" customWidth="1"/>
    <col min="3602" max="3839" width="9.140625" style="472"/>
    <col min="3840" max="3840" width="4.28515625" style="472" customWidth="1"/>
    <col min="3841" max="3841" width="57.7109375" style="472" customWidth="1"/>
    <col min="3842" max="3843" width="14.140625" style="472" bestFit="1" customWidth="1"/>
    <col min="3844" max="3844" width="13.140625" style="472" customWidth="1"/>
    <col min="3845" max="3845" width="14.140625" style="472" customWidth="1"/>
    <col min="3846" max="3846" width="12.7109375" style="472" bestFit="1" customWidth="1"/>
    <col min="3847" max="3847" width="14.140625" style="472" bestFit="1" customWidth="1"/>
    <col min="3848" max="3848" width="12.140625" style="472" customWidth="1"/>
    <col min="3849" max="3849" width="14.140625" style="472" bestFit="1" customWidth="1"/>
    <col min="3850" max="3851" width="7.42578125" style="472" bestFit="1" customWidth="1"/>
    <col min="3852" max="3852" width="7.7109375" style="472" bestFit="1" customWidth="1"/>
    <col min="3853" max="3853" width="13" style="472" customWidth="1"/>
    <col min="3854" max="3854" width="9.140625" style="472"/>
    <col min="3855" max="3855" width="11.140625" style="472" bestFit="1" customWidth="1"/>
    <col min="3856" max="3856" width="9.140625" style="472"/>
    <col min="3857" max="3857" width="0" style="472" hidden="1" customWidth="1"/>
    <col min="3858" max="4095" width="9.140625" style="472"/>
    <col min="4096" max="4096" width="4.28515625" style="472" customWidth="1"/>
    <col min="4097" max="4097" width="57.7109375" style="472" customWidth="1"/>
    <col min="4098" max="4099" width="14.140625" style="472" bestFit="1" customWidth="1"/>
    <col min="4100" max="4100" width="13.140625" style="472" customWidth="1"/>
    <col min="4101" max="4101" width="14.140625" style="472" customWidth="1"/>
    <col min="4102" max="4102" width="12.7109375" style="472" bestFit="1" customWidth="1"/>
    <col min="4103" max="4103" width="14.140625" style="472" bestFit="1" customWidth="1"/>
    <col min="4104" max="4104" width="12.140625" style="472" customWidth="1"/>
    <col min="4105" max="4105" width="14.140625" style="472" bestFit="1" customWidth="1"/>
    <col min="4106" max="4107" width="7.42578125" style="472" bestFit="1" customWidth="1"/>
    <col min="4108" max="4108" width="7.7109375" style="472" bestFit="1" customWidth="1"/>
    <col min="4109" max="4109" width="13" style="472" customWidth="1"/>
    <col min="4110" max="4110" width="9.140625" style="472"/>
    <col min="4111" max="4111" width="11.140625" style="472" bestFit="1" customWidth="1"/>
    <col min="4112" max="4112" width="9.140625" style="472"/>
    <col min="4113" max="4113" width="0" style="472" hidden="1" customWidth="1"/>
    <col min="4114" max="4351" width="9.140625" style="472"/>
    <col min="4352" max="4352" width="4.28515625" style="472" customWidth="1"/>
    <col min="4353" max="4353" width="57.7109375" style="472" customWidth="1"/>
    <col min="4354" max="4355" width="14.140625" style="472" bestFit="1" customWidth="1"/>
    <col min="4356" max="4356" width="13.140625" style="472" customWidth="1"/>
    <col min="4357" max="4357" width="14.140625" style="472" customWidth="1"/>
    <col min="4358" max="4358" width="12.7109375" style="472" bestFit="1" customWidth="1"/>
    <col min="4359" max="4359" width="14.140625" style="472" bestFit="1" customWidth="1"/>
    <col min="4360" max="4360" width="12.140625" style="472" customWidth="1"/>
    <col min="4361" max="4361" width="14.140625" style="472" bestFit="1" customWidth="1"/>
    <col min="4362" max="4363" width="7.42578125" style="472" bestFit="1" customWidth="1"/>
    <col min="4364" max="4364" width="7.7109375" style="472" bestFit="1" customWidth="1"/>
    <col min="4365" max="4365" width="13" style="472" customWidth="1"/>
    <col min="4366" max="4366" width="9.140625" style="472"/>
    <col min="4367" max="4367" width="11.140625" style="472" bestFit="1" customWidth="1"/>
    <col min="4368" max="4368" width="9.140625" style="472"/>
    <col min="4369" max="4369" width="0" style="472" hidden="1" customWidth="1"/>
    <col min="4370" max="4607" width="9.140625" style="472"/>
    <col min="4608" max="4608" width="4.28515625" style="472" customWidth="1"/>
    <col min="4609" max="4609" width="57.7109375" style="472" customWidth="1"/>
    <col min="4610" max="4611" width="14.140625" style="472" bestFit="1" customWidth="1"/>
    <col min="4612" max="4612" width="13.140625" style="472" customWidth="1"/>
    <col min="4613" max="4613" width="14.140625" style="472" customWidth="1"/>
    <col min="4614" max="4614" width="12.7109375" style="472" bestFit="1" customWidth="1"/>
    <col min="4615" max="4615" width="14.140625" style="472" bestFit="1" customWidth="1"/>
    <col min="4616" max="4616" width="12.140625" style="472" customWidth="1"/>
    <col min="4617" max="4617" width="14.140625" style="472" bestFit="1" customWidth="1"/>
    <col min="4618" max="4619" width="7.42578125" style="472" bestFit="1" customWidth="1"/>
    <col min="4620" max="4620" width="7.7109375" style="472" bestFit="1" customWidth="1"/>
    <col min="4621" max="4621" width="13" style="472" customWidth="1"/>
    <col min="4622" max="4622" width="9.140625" style="472"/>
    <col min="4623" max="4623" width="11.140625" style="472" bestFit="1" customWidth="1"/>
    <col min="4624" max="4624" width="9.140625" style="472"/>
    <col min="4625" max="4625" width="0" style="472" hidden="1" customWidth="1"/>
    <col min="4626" max="4863" width="9.140625" style="472"/>
    <col min="4864" max="4864" width="4.28515625" style="472" customWidth="1"/>
    <col min="4865" max="4865" width="57.7109375" style="472" customWidth="1"/>
    <col min="4866" max="4867" width="14.140625" style="472" bestFit="1" customWidth="1"/>
    <col min="4868" max="4868" width="13.140625" style="472" customWidth="1"/>
    <col min="4869" max="4869" width="14.140625" style="472" customWidth="1"/>
    <col min="4870" max="4870" width="12.7109375" style="472" bestFit="1" customWidth="1"/>
    <col min="4871" max="4871" width="14.140625" style="472" bestFit="1" customWidth="1"/>
    <col min="4872" max="4872" width="12.140625" style="472" customWidth="1"/>
    <col min="4873" max="4873" width="14.140625" style="472" bestFit="1" customWidth="1"/>
    <col min="4874" max="4875" width="7.42578125" style="472" bestFit="1" customWidth="1"/>
    <col min="4876" max="4876" width="7.7109375" style="472" bestFit="1" customWidth="1"/>
    <col min="4877" max="4877" width="13" style="472" customWidth="1"/>
    <col min="4878" max="4878" width="9.140625" style="472"/>
    <col min="4879" max="4879" width="11.140625" style="472" bestFit="1" customWidth="1"/>
    <col min="4880" max="4880" width="9.140625" style="472"/>
    <col min="4881" max="4881" width="0" style="472" hidden="1" customWidth="1"/>
    <col min="4882" max="5119" width="9.140625" style="472"/>
    <col min="5120" max="5120" width="4.28515625" style="472" customWidth="1"/>
    <col min="5121" max="5121" width="57.7109375" style="472" customWidth="1"/>
    <col min="5122" max="5123" width="14.140625" style="472" bestFit="1" customWidth="1"/>
    <col min="5124" max="5124" width="13.140625" style="472" customWidth="1"/>
    <col min="5125" max="5125" width="14.140625" style="472" customWidth="1"/>
    <col min="5126" max="5126" width="12.7109375" style="472" bestFit="1" customWidth="1"/>
    <col min="5127" max="5127" width="14.140625" style="472" bestFit="1" customWidth="1"/>
    <col min="5128" max="5128" width="12.140625" style="472" customWidth="1"/>
    <col min="5129" max="5129" width="14.140625" style="472" bestFit="1" customWidth="1"/>
    <col min="5130" max="5131" width="7.42578125" style="472" bestFit="1" customWidth="1"/>
    <col min="5132" max="5132" width="7.7109375" style="472" bestFit="1" customWidth="1"/>
    <col min="5133" max="5133" width="13" style="472" customWidth="1"/>
    <col min="5134" max="5134" width="9.140625" style="472"/>
    <col min="5135" max="5135" width="11.140625" style="472" bestFit="1" customWidth="1"/>
    <col min="5136" max="5136" width="9.140625" style="472"/>
    <col min="5137" max="5137" width="0" style="472" hidden="1" customWidth="1"/>
    <col min="5138" max="5375" width="9.140625" style="472"/>
    <col min="5376" max="5376" width="4.28515625" style="472" customWidth="1"/>
    <col min="5377" max="5377" width="57.7109375" style="472" customWidth="1"/>
    <col min="5378" max="5379" width="14.140625" style="472" bestFit="1" customWidth="1"/>
    <col min="5380" max="5380" width="13.140625" style="472" customWidth="1"/>
    <col min="5381" max="5381" width="14.140625" style="472" customWidth="1"/>
    <col min="5382" max="5382" width="12.7109375" style="472" bestFit="1" customWidth="1"/>
    <col min="5383" max="5383" width="14.140625" style="472" bestFit="1" customWidth="1"/>
    <col min="5384" max="5384" width="12.140625" style="472" customWidth="1"/>
    <col min="5385" max="5385" width="14.140625" style="472" bestFit="1" customWidth="1"/>
    <col min="5386" max="5387" width="7.42578125" style="472" bestFit="1" customWidth="1"/>
    <col min="5388" max="5388" width="7.7109375" style="472" bestFit="1" customWidth="1"/>
    <col min="5389" max="5389" width="13" style="472" customWidth="1"/>
    <col min="5390" max="5390" width="9.140625" style="472"/>
    <col min="5391" max="5391" width="11.140625" style="472" bestFit="1" customWidth="1"/>
    <col min="5392" max="5392" width="9.140625" style="472"/>
    <col min="5393" max="5393" width="0" style="472" hidden="1" customWidth="1"/>
    <col min="5394" max="5631" width="9.140625" style="472"/>
    <col min="5632" max="5632" width="4.28515625" style="472" customWidth="1"/>
    <col min="5633" max="5633" width="57.7109375" style="472" customWidth="1"/>
    <col min="5634" max="5635" width="14.140625" style="472" bestFit="1" customWidth="1"/>
    <col min="5636" max="5636" width="13.140625" style="472" customWidth="1"/>
    <col min="5637" max="5637" width="14.140625" style="472" customWidth="1"/>
    <col min="5638" max="5638" width="12.7109375" style="472" bestFit="1" customWidth="1"/>
    <col min="5639" max="5639" width="14.140625" style="472" bestFit="1" customWidth="1"/>
    <col min="5640" max="5640" width="12.140625" style="472" customWidth="1"/>
    <col min="5641" max="5641" width="14.140625" style="472" bestFit="1" customWidth="1"/>
    <col min="5642" max="5643" width="7.42578125" style="472" bestFit="1" customWidth="1"/>
    <col min="5644" max="5644" width="7.7109375" style="472" bestFit="1" customWidth="1"/>
    <col min="5645" max="5645" width="13" style="472" customWidth="1"/>
    <col min="5646" max="5646" width="9.140625" style="472"/>
    <col min="5647" max="5647" width="11.140625" style="472" bestFit="1" customWidth="1"/>
    <col min="5648" max="5648" width="9.140625" style="472"/>
    <col min="5649" max="5649" width="0" style="472" hidden="1" customWidth="1"/>
    <col min="5650" max="5887" width="9.140625" style="472"/>
    <col min="5888" max="5888" width="4.28515625" style="472" customWidth="1"/>
    <col min="5889" max="5889" width="57.7109375" style="472" customWidth="1"/>
    <col min="5890" max="5891" width="14.140625" style="472" bestFit="1" customWidth="1"/>
    <col min="5892" max="5892" width="13.140625" style="472" customWidth="1"/>
    <col min="5893" max="5893" width="14.140625" style="472" customWidth="1"/>
    <col min="5894" max="5894" width="12.7109375" style="472" bestFit="1" customWidth="1"/>
    <col min="5895" max="5895" width="14.140625" style="472" bestFit="1" customWidth="1"/>
    <col min="5896" max="5896" width="12.140625" style="472" customWidth="1"/>
    <col min="5897" max="5897" width="14.140625" style="472" bestFit="1" customWidth="1"/>
    <col min="5898" max="5899" width="7.42578125" style="472" bestFit="1" customWidth="1"/>
    <col min="5900" max="5900" width="7.7109375" style="472" bestFit="1" customWidth="1"/>
    <col min="5901" max="5901" width="13" style="472" customWidth="1"/>
    <col min="5902" max="5902" width="9.140625" style="472"/>
    <col min="5903" max="5903" width="11.140625" style="472" bestFit="1" customWidth="1"/>
    <col min="5904" max="5904" width="9.140625" style="472"/>
    <col min="5905" max="5905" width="0" style="472" hidden="1" customWidth="1"/>
    <col min="5906" max="6143" width="9.140625" style="472"/>
    <col min="6144" max="6144" width="4.28515625" style="472" customWidth="1"/>
    <col min="6145" max="6145" width="57.7109375" style="472" customWidth="1"/>
    <col min="6146" max="6147" width="14.140625" style="472" bestFit="1" customWidth="1"/>
    <col min="6148" max="6148" width="13.140625" style="472" customWidth="1"/>
    <col min="6149" max="6149" width="14.140625" style="472" customWidth="1"/>
    <col min="6150" max="6150" width="12.7109375" style="472" bestFit="1" customWidth="1"/>
    <col min="6151" max="6151" width="14.140625" style="472" bestFit="1" customWidth="1"/>
    <col min="6152" max="6152" width="12.140625" style="472" customWidth="1"/>
    <col min="6153" max="6153" width="14.140625" style="472" bestFit="1" customWidth="1"/>
    <col min="6154" max="6155" width="7.42578125" style="472" bestFit="1" customWidth="1"/>
    <col min="6156" max="6156" width="7.7109375" style="472" bestFit="1" customWidth="1"/>
    <col min="6157" max="6157" width="13" style="472" customWidth="1"/>
    <col min="6158" max="6158" width="9.140625" style="472"/>
    <col min="6159" max="6159" width="11.140625" style="472" bestFit="1" customWidth="1"/>
    <col min="6160" max="6160" width="9.140625" style="472"/>
    <col min="6161" max="6161" width="0" style="472" hidden="1" customWidth="1"/>
    <col min="6162" max="6399" width="9.140625" style="472"/>
    <col min="6400" max="6400" width="4.28515625" style="472" customWidth="1"/>
    <col min="6401" max="6401" width="57.7109375" style="472" customWidth="1"/>
    <col min="6402" max="6403" width="14.140625" style="472" bestFit="1" customWidth="1"/>
    <col min="6404" max="6404" width="13.140625" style="472" customWidth="1"/>
    <col min="6405" max="6405" width="14.140625" style="472" customWidth="1"/>
    <col min="6406" max="6406" width="12.7109375" style="472" bestFit="1" customWidth="1"/>
    <col min="6407" max="6407" width="14.140625" style="472" bestFit="1" customWidth="1"/>
    <col min="6408" max="6408" width="12.140625" style="472" customWidth="1"/>
    <col min="6409" max="6409" width="14.140625" style="472" bestFit="1" customWidth="1"/>
    <col min="6410" max="6411" width="7.42578125" style="472" bestFit="1" customWidth="1"/>
    <col min="6412" max="6412" width="7.7109375" style="472" bestFit="1" customWidth="1"/>
    <col min="6413" max="6413" width="13" style="472" customWidth="1"/>
    <col min="6414" max="6414" width="9.140625" style="472"/>
    <col min="6415" max="6415" width="11.140625" style="472" bestFit="1" customWidth="1"/>
    <col min="6416" max="6416" width="9.140625" style="472"/>
    <col min="6417" max="6417" width="0" style="472" hidden="1" customWidth="1"/>
    <col min="6418" max="6655" width="9.140625" style="472"/>
    <col min="6656" max="6656" width="4.28515625" style="472" customWidth="1"/>
    <col min="6657" max="6657" width="57.7109375" style="472" customWidth="1"/>
    <col min="6658" max="6659" width="14.140625" style="472" bestFit="1" customWidth="1"/>
    <col min="6660" max="6660" width="13.140625" style="472" customWidth="1"/>
    <col min="6661" max="6661" width="14.140625" style="472" customWidth="1"/>
    <col min="6662" max="6662" width="12.7109375" style="472" bestFit="1" customWidth="1"/>
    <col min="6663" max="6663" width="14.140625" style="472" bestFit="1" customWidth="1"/>
    <col min="6664" max="6664" width="12.140625" style="472" customWidth="1"/>
    <col min="6665" max="6665" width="14.140625" style="472" bestFit="1" customWidth="1"/>
    <col min="6666" max="6667" width="7.42578125" style="472" bestFit="1" customWidth="1"/>
    <col min="6668" max="6668" width="7.7109375" style="472" bestFit="1" customWidth="1"/>
    <col min="6669" max="6669" width="13" style="472" customWidth="1"/>
    <col min="6670" max="6670" width="9.140625" style="472"/>
    <col min="6671" max="6671" width="11.140625" style="472" bestFit="1" customWidth="1"/>
    <col min="6672" max="6672" width="9.140625" style="472"/>
    <col min="6673" max="6673" width="0" style="472" hidden="1" customWidth="1"/>
    <col min="6674" max="6911" width="9.140625" style="472"/>
    <col min="6912" max="6912" width="4.28515625" style="472" customWidth="1"/>
    <col min="6913" max="6913" width="57.7109375" style="472" customWidth="1"/>
    <col min="6914" max="6915" width="14.140625" style="472" bestFit="1" customWidth="1"/>
    <col min="6916" max="6916" width="13.140625" style="472" customWidth="1"/>
    <col min="6917" max="6917" width="14.140625" style="472" customWidth="1"/>
    <col min="6918" max="6918" width="12.7109375" style="472" bestFit="1" customWidth="1"/>
    <col min="6919" max="6919" width="14.140625" style="472" bestFit="1" customWidth="1"/>
    <col min="6920" max="6920" width="12.140625" style="472" customWidth="1"/>
    <col min="6921" max="6921" width="14.140625" style="472" bestFit="1" customWidth="1"/>
    <col min="6922" max="6923" width="7.42578125" style="472" bestFit="1" customWidth="1"/>
    <col min="6924" max="6924" width="7.7109375" style="472" bestFit="1" customWidth="1"/>
    <col min="6925" max="6925" width="13" style="472" customWidth="1"/>
    <col min="6926" max="6926" width="9.140625" style="472"/>
    <col min="6927" max="6927" width="11.140625" style="472" bestFit="1" customWidth="1"/>
    <col min="6928" max="6928" width="9.140625" style="472"/>
    <col min="6929" max="6929" width="0" style="472" hidden="1" customWidth="1"/>
    <col min="6930" max="7167" width="9.140625" style="472"/>
    <col min="7168" max="7168" width="4.28515625" style="472" customWidth="1"/>
    <col min="7169" max="7169" width="57.7109375" style="472" customWidth="1"/>
    <col min="7170" max="7171" width="14.140625" style="472" bestFit="1" customWidth="1"/>
    <col min="7172" max="7172" width="13.140625" style="472" customWidth="1"/>
    <col min="7173" max="7173" width="14.140625" style="472" customWidth="1"/>
    <col min="7174" max="7174" width="12.7109375" style="472" bestFit="1" customWidth="1"/>
    <col min="7175" max="7175" width="14.140625" style="472" bestFit="1" customWidth="1"/>
    <col min="7176" max="7176" width="12.140625" style="472" customWidth="1"/>
    <col min="7177" max="7177" width="14.140625" style="472" bestFit="1" customWidth="1"/>
    <col min="7178" max="7179" width="7.42578125" style="472" bestFit="1" customWidth="1"/>
    <col min="7180" max="7180" width="7.7109375" style="472" bestFit="1" customWidth="1"/>
    <col min="7181" max="7181" width="13" style="472" customWidth="1"/>
    <col min="7182" max="7182" width="9.140625" style="472"/>
    <col min="7183" max="7183" width="11.140625" style="472" bestFit="1" customWidth="1"/>
    <col min="7184" max="7184" width="9.140625" style="472"/>
    <col min="7185" max="7185" width="0" style="472" hidden="1" customWidth="1"/>
    <col min="7186" max="7423" width="9.140625" style="472"/>
    <col min="7424" max="7424" width="4.28515625" style="472" customWidth="1"/>
    <col min="7425" max="7425" width="57.7109375" style="472" customWidth="1"/>
    <col min="7426" max="7427" width="14.140625" style="472" bestFit="1" customWidth="1"/>
    <col min="7428" max="7428" width="13.140625" style="472" customWidth="1"/>
    <col min="7429" max="7429" width="14.140625" style="472" customWidth="1"/>
    <col min="7430" max="7430" width="12.7109375" style="472" bestFit="1" customWidth="1"/>
    <col min="7431" max="7431" width="14.140625" style="472" bestFit="1" customWidth="1"/>
    <col min="7432" max="7432" width="12.140625" style="472" customWidth="1"/>
    <col min="7433" max="7433" width="14.140625" style="472" bestFit="1" customWidth="1"/>
    <col min="7434" max="7435" width="7.42578125" style="472" bestFit="1" customWidth="1"/>
    <col min="7436" max="7436" width="7.7109375" style="472" bestFit="1" customWidth="1"/>
    <col min="7437" max="7437" width="13" style="472" customWidth="1"/>
    <col min="7438" max="7438" width="9.140625" style="472"/>
    <col min="7439" max="7439" width="11.140625" style="472" bestFit="1" customWidth="1"/>
    <col min="7440" max="7440" width="9.140625" style="472"/>
    <col min="7441" max="7441" width="0" style="472" hidden="1" customWidth="1"/>
    <col min="7442" max="7679" width="9.140625" style="472"/>
    <col min="7680" max="7680" width="4.28515625" style="472" customWidth="1"/>
    <col min="7681" max="7681" width="57.7109375" style="472" customWidth="1"/>
    <col min="7682" max="7683" width="14.140625" style="472" bestFit="1" customWidth="1"/>
    <col min="7684" max="7684" width="13.140625" style="472" customWidth="1"/>
    <col min="7685" max="7685" width="14.140625" style="472" customWidth="1"/>
    <col min="7686" max="7686" width="12.7109375" style="472" bestFit="1" customWidth="1"/>
    <col min="7687" max="7687" width="14.140625" style="472" bestFit="1" customWidth="1"/>
    <col min="7688" max="7688" width="12.140625" style="472" customWidth="1"/>
    <col min="7689" max="7689" width="14.140625" style="472" bestFit="1" customWidth="1"/>
    <col min="7690" max="7691" width="7.42578125" style="472" bestFit="1" customWidth="1"/>
    <col min="7692" max="7692" width="7.7109375" style="472" bestFit="1" customWidth="1"/>
    <col min="7693" max="7693" width="13" style="472" customWidth="1"/>
    <col min="7694" max="7694" width="9.140625" style="472"/>
    <col min="7695" max="7695" width="11.140625" style="472" bestFit="1" customWidth="1"/>
    <col min="7696" max="7696" width="9.140625" style="472"/>
    <col min="7697" max="7697" width="0" style="472" hidden="1" customWidth="1"/>
    <col min="7698" max="7935" width="9.140625" style="472"/>
    <col min="7936" max="7936" width="4.28515625" style="472" customWidth="1"/>
    <col min="7937" max="7937" width="57.7109375" style="472" customWidth="1"/>
    <col min="7938" max="7939" width="14.140625" style="472" bestFit="1" customWidth="1"/>
    <col min="7940" max="7940" width="13.140625" style="472" customWidth="1"/>
    <col min="7941" max="7941" width="14.140625" style="472" customWidth="1"/>
    <col min="7942" max="7942" width="12.7109375" style="472" bestFit="1" customWidth="1"/>
    <col min="7943" max="7943" width="14.140625" style="472" bestFit="1" customWidth="1"/>
    <col min="7944" max="7944" width="12.140625" style="472" customWidth="1"/>
    <col min="7945" max="7945" width="14.140625" style="472" bestFit="1" customWidth="1"/>
    <col min="7946" max="7947" width="7.42578125" style="472" bestFit="1" customWidth="1"/>
    <col min="7948" max="7948" width="7.7109375" style="472" bestFit="1" customWidth="1"/>
    <col min="7949" max="7949" width="13" style="472" customWidth="1"/>
    <col min="7950" max="7950" width="9.140625" style="472"/>
    <col min="7951" max="7951" width="11.140625" style="472" bestFit="1" customWidth="1"/>
    <col min="7952" max="7952" width="9.140625" style="472"/>
    <col min="7953" max="7953" width="0" style="472" hidden="1" customWidth="1"/>
    <col min="7954" max="8191" width="9.140625" style="472"/>
    <col min="8192" max="8192" width="4.28515625" style="472" customWidth="1"/>
    <col min="8193" max="8193" width="57.7109375" style="472" customWidth="1"/>
    <col min="8194" max="8195" width="14.140625" style="472" bestFit="1" customWidth="1"/>
    <col min="8196" max="8196" width="13.140625" style="472" customWidth="1"/>
    <col min="8197" max="8197" width="14.140625" style="472" customWidth="1"/>
    <col min="8198" max="8198" width="12.7109375" style="472" bestFit="1" customWidth="1"/>
    <col min="8199" max="8199" width="14.140625" style="472" bestFit="1" customWidth="1"/>
    <col min="8200" max="8200" width="12.140625" style="472" customWidth="1"/>
    <col min="8201" max="8201" width="14.140625" style="472" bestFit="1" customWidth="1"/>
    <col min="8202" max="8203" width="7.42578125" style="472" bestFit="1" customWidth="1"/>
    <col min="8204" max="8204" width="7.7109375" style="472" bestFit="1" customWidth="1"/>
    <col min="8205" max="8205" width="13" style="472" customWidth="1"/>
    <col min="8206" max="8206" width="9.140625" style="472"/>
    <col min="8207" max="8207" width="11.140625" style="472" bestFit="1" customWidth="1"/>
    <col min="8208" max="8208" width="9.140625" style="472"/>
    <col min="8209" max="8209" width="0" style="472" hidden="1" customWidth="1"/>
    <col min="8210" max="8447" width="9.140625" style="472"/>
    <col min="8448" max="8448" width="4.28515625" style="472" customWidth="1"/>
    <col min="8449" max="8449" width="57.7109375" style="472" customWidth="1"/>
    <col min="8450" max="8451" width="14.140625" style="472" bestFit="1" customWidth="1"/>
    <col min="8452" max="8452" width="13.140625" style="472" customWidth="1"/>
    <col min="8453" max="8453" width="14.140625" style="472" customWidth="1"/>
    <col min="8454" max="8454" width="12.7109375" style="472" bestFit="1" customWidth="1"/>
    <col min="8455" max="8455" width="14.140625" style="472" bestFit="1" customWidth="1"/>
    <col min="8456" max="8456" width="12.140625" style="472" customWidth="1"/>
    <col min="8457" max="8457" width="14.140625" style="472" bestFit="1" customWidth="1"/>
    <col min="8458" max="8459" width="7.42578125" style="472" bestFit="1" customWidth="1"/>
    <col min="8460" max="8460" width="7.7109375" style="472" bestFit="1" customWidth="1"/>
    <col min="8461" max="8461" width="13" style="472" customWidth="1"/>
    <col min="8462" max="8462" width="9.140625" style="472"/>
    <col min="8463" max="8463" width="11.140625" style="472" bestFit="1" customWidth="1"/>
    <col min="8464" max="8464" width="9.140625" style="472"/>
    <col min="8465" max="8465" width="0" style="472" hidden="1" customWidth="1"/>
    <col min="8466" max="8703" width="9.140625" style="472"/>
    <col min="8704" max="8704" width="4.28515625" style="472" customWidth="1"/>
    <col min="8705" max="8705" width="57.7109375" style="472" customWidth="1"/>
    <col min="8706" max="8707" width="14.140625" style="472" bestFit="1" customWidth="1"/>
    <col min="8708" max="8708" width="13.140625" style="472" customWidth="1"/>
    <col min="8709" max="8709" width="14.140625" style="472" customWidth="1"/>
    <col min="8710" max="8710" width="12.7109375" style="472" bestFit="1" customWidth="1"/>
    <col min="8711" max="8711" width="14.140625" style="472" bestFit="1" customWidth="1"/>
    <col min="8712" max="8712" width="12.140625" style="472" customWidth="1"/>
    <col min="8713" max="8713" width="14.140625" style="472" bestFit="1" customWidth="1"/>
    <col min="8714" max="8715" width="7.42578125" style="472" bestFit="1" customWidth="1"/>
    <col min="8716" max="8716" width="7.7109375" style="472" bestFit="1" customWidth="1"/>
    <col min="8717" max="8717" width="13" style="472" customWidth="1"/>
    <col min="8718" max="8718" width="9.140625" style="472"/>
    <col min="8719" max="8719" width="11.140625" style="472" bestFit="1" customWidth="1"/>
    <col min="8720" max="8720" width="9.140625" style="472"/>
    <col min="8721" max="8721" width="0" style="472" hidden="1" customWidth="1"/>
    <col min="8722" max="8959" width="9.140625" style="472"/>
    <col min="8960" max="8960" width="4.28515625" style="472" customWidth="1"/>
    <col min="8961" max="8961" width="57.7109375" style="472" customWidth="1"/>
    <col min="8962" max="8963" width="14.140625" style="472" bestFit="1" customWidth="1"/>
    <col min="8964" max="8964" width="13.140625" style="472" customWidth="1"/>
    <col min="8965" max="8965" width="14.140625" style="472" customWidth="1"/>
    <col min="8966" max="8966" width="12.7109375" style="472" bestFit="1" customWidth="1"/>
    <col min="8967" max="8967" width="14.140625" style="472" bestFit="1" customWidth="1"/>
    <col min="8968" max="8968" width="12.140625" style="472" customWidth="1"/>
    <col min="8969" max="8969" width="14.140625" style="472" bestFit="1" customWidth="1"/>
    <col min="8970" max="8971" width="7.42578125" style="472" bestFit="1" customWidth="1"/>
    <col min="8972" max="8972" width="7.7109375" style="472" bestFit="1" customWidth="1"/>
    <col min="8973" max="8973" width="13" style="472" customWidth="1"/>
    <col min="8974" max="8974" width="9.140625" style="472"/>
    <col min="8975" max="8975" width="11.140625" style="472" bestFit="1" customWidth="1"/>
    <col min="8976" max="8976" width="9.140625" style="472"/>
    <col min="8977" max="8977" width="0" style="472" hidden="1" customWidth="1"/>
    <col min="8978" max="9215" width="9.140625" style="472"/>
    <col min="9216" max="9216" width="4.28515625" style="472" customWidth="1"/>
    <col min="9217" max="9217" width="57.7109375" style="472" customWidth="1"/>
    <col min="9218" max="9219" width="14.140625" style="472" bestFit="1" customWidth="1"/>
    <col min="9220" max="9220" width="13.140625" style="472" customWidth="1"/>
    <col min="9221" max="9221" width="14.140625" style="472" customWidth="1"/>
    <col min="9222" max="9222" width="12.7109375" style="472" bestFit="1" customWidth="1"/>
    <col min="9223" max="9223" width="14.140625" style="472" bestFit="1" customWidth="1"/>
    <col min="9224" max="9224" width="12.140625" style="472" customWidth="1"/>
    <col min="9225" max="9225" width="14.140625" style="472" bestFit="1" customWidth="1"/>
    <col min="9226" max="9227" width="7.42578125" style="472" bestFit="1" customWidth="1"/>
    <col min="9228" max="9228" width="7.7109375" style="472" bestFit="1" customWidth="1"/>
    <col min="9229" max="9229" width="13" style="472" customWidth="1"/>
    <col min="9230" max="9230" width="9.140625" style="472"/>
    <col min="9231" max="9231" width="11.140625" style="472" bestFit="1" customWidth="1"/>
    <col min="9232" max="9232" width="9.140625" style="472"/>
    <col min="9233" max="9233" width="0" style="472" hidden="1" customWidth="1"/>
    <col min="9234" max="9471" width="9.140625" style="472"/>
    <col min="9472" max="9472" width="4.28515625" style="472" customWidth="1"/>
    <col min="9473" max="9473" width="57.7109375" style="472" customWidth="1"/>
    <col min="9474" max="9475" width="14.140625" style="472" bestFit="1" customWidth="1"/>
    <col min="9476" max="9476" width="13.140625" style="472" customWidth="1"/>
    <col min="9477" max="9477" width="14.140625" style="472" customWidth="1"/>
    <col min="9478" max="9478" width="12.7109375" style="472" bestFit="1" customWidth="1"/>
    <col min="9479" max="9479" width="14.140625" style="472" bestFit="1" customWidth="1"/>
    <col min="9480" max="9480" width="12.140625" style="472" customWidth="1"/>
    <col min="9481" max="9481" width="14.140625" style="472" bestFit="1" customWidth="1"/>
    <col min="9482" max="9483" width="7.42578125" style="472" bestFit="1" customWidth="1"/>
    <col min="9484" max="9484" width="7.7109375" style="472" bestFit="1" customWidth="1"/>
    <col min="9485" max="9485" width="13" style="472" customWidth="1"/>
    <col min="9486" max="9486" width="9.140625" style="472"/>
    <col min="9487" max="9487" width="11.140625" style="472" bestFit="1" customWidth="1"/>
    <col min="9488" max="9488" width="9.140625" style="472"/>
    <col min="9489" max="9489" width="0" style="472" hidden="1" customWidth="1"/>
    <col min="9490" max="9727" width="9.140625" style="472"/>
    <col min="9728" max="9728" width="4.28515625" style="472" customWidth="1"/>
    <col min="9729" max="9729" width="57.7109375" style="472" customWidth="1"/>
    <col min="9730" max="9731" width="14.140625" style="472" bestFit="1" customWidth="1"/>
    <col min="9732" max="9732" width="13.140625" style="472" customWidth="1"/>
    <col min="9733" max="9733" width="14.140625" style="472" customWidth="1"/>
    <col min="9734" max="9734" width="12.7109375" style="472" bestFit="1" customWidth="1"/>
    <col min="9735" max="9735" width="14.140625" style="472" bestFit="1" customWidth="1"/>
    <col min="9736" max="9736" width="12.140625" style="472" customWidth="1"/>
    <col min="9737" max="9737" width="14.140625" style="472" bestFit="1" customWidth="1"/>
    <col min="9738" max="9739" width="7.42578125" style="472" bestFit="1" customWidth="1"/>
    <col min="9740" max="9740" width="7.7109375" style="472" bestFit="1" customWidth="1"/>
    <col min="9741" max="9741" width="13" style="472" customWidth="1"/>
    <col min="9742" max="9742" width="9.140625" style="472"/>
    <col min="9743" max="9743" width="11.140625" style="472" bestFit="1" customWidth="1"/>
    <col min="9744" max="9744" width="9.140625" style="472"/>
    <col min="9745" max="9745" width="0" style="472" hidden="1" customWidth="1"/>
    <col min="9746" max="9983" width="9.140625" style="472"/>
    <col min="9984" max="9984" width="4.28515625" style="472" customWidth="1"/>
    <col min="9985" max="9985" width="57.7109375" style="472" customWidth="1"/>
    <col min="9986" max="9987" width="14.140625" style="472" bestFit="1" customWidth="1"/>
    <col min="9988" max="9988" width="13.140625" style="472" customWidth="1"/>
    <col min="9989" max="9989" width="14.140625" style="472" customWidth="1"/>
    <col min="9990" max="9990" width="12.7109375" style="472" bestFit="1" customWidth="1"/>
    <col min="9991" max="9991" width="14.140625" style="472" bestFit="1" customWidth="1"/>
    <col min="9992" max="9992" width="12.140625" style="472" customWidth="1"/>
    <col min="9993" max="9993" width="14.140625" style="472" bestFit="1" customWidth="1"/>
    <col min="9994" max="9995" width="7.42578125" style="472" bestFit="1" customWidth="1"/>
    <col min="9996" max="9996" width="7.7109375" style="472" bestFit="1" customWidth="1"/>
    <col min="9997" max="9997" width="13" style="472" customWidth="1"/>
    <col min="9998" max="9998" width="9.140625" style="472"/>
    <col min="9999" max="9999" width="11.140625" style="472" bestFit="1" customWidth="1"/>
    <col min="10000" max="10000" width="9.140625" style="472"/>
    <col min="10001" max="10001" width="0" style="472" hidden="1" customWidth="1"/>
    <col min="10002" max="10239" width="9.140625" style="472"/>
    <col min="10240" max="10240" width="4.28515625" style="472" customWidth="1"/>
    <col min="10241" max="10241" width="57.7109375" style="472" customWidth="1"/>
    <col min="10242" max="10243" width="14.140625" style="472" bestFit="1" customWidth="1"/>
    <col min="10244" max="10244" width="13.140625" style="472" customWidth="1"/>
    <col min="10245" max="10245" width="14.140625" style="472" customWidth="1"/>
    <col min="10246" max="10246" width="12.7109375" style="472" bestFit="1" customWidth="1"/>
    <col min="10247" max="10247" width="14.140625" style="472" bestFit="1" customWidth="1"/>
    <col min="10248" max="10248" width="12.140625" style="472" customWidth="1"/>
    <col min="10249" max="10249" width="14.140625" style="472" bestFit="1" customWidth="1"/>
    <col min="10250" max="10251" width="7.42578125" style="472" bestFit="1" customWidth="1"/>
    <col min="10252" max="10252" width="7.7109375" style="472" bestFit="1" customWidth="1"/>
    <col min="10253" max="10253" width="13" style="472" customWidth="1"/>
    <col min="10254" max="10254" width="9.140625" style="472"/>
    <col min="10255" max="10255" width="11.140625" style="472" bestFit="1" customWidth="1"/>
    <col min="10256" max="10256" width="9.140625" style="472"/>
    <col min="10257" max="10257" width="0" style="472" hidden="1" customWidth="1"/>
    <col min="10258" max="10495" width="9.140625" style="472"/>
    <col min="10496" max="10496" width="4.28515625" style="472" customWidth="1"/>
    <col min="10497" max="10497" width="57.7109375" style="472" customWidth="1"/>
    <col min="10498" max="10499" width="14.140625" style="472" bestFit="1" customWidth="1"/>
    <col min="10500" max="10500" width="13.140625" style="472" customWidth="1"/>
    <col min="10501" max="10501" width="14.140625" style="472" customWidth="1"/>
    <col min="10502" max="10502" width="12.7109375" style="472" bestFit="1" customWidth="1"/>
    <col min="10503" max="10503" width="14.140625" style="472" bestFit="1" customWidth="1"/>
    <col min="10504" max="10504" width="12.140625" style="472" customWidth="1"/>
    <col min="10505" max="10505" width="14.140625" style="472" bestFit="1" customWidth="1"/>
    <col min="10506" max="10507" width="7.42578125" style="472" bestFit="1" customWidth="1"/>
    <col min="10508" max="10508" width="7.7109375" style="472" bestFit="1" customWidth="1"/>
    <col min="10509" max="10509" width="13" style="472" customWidth="1"/>
    <col min="10510" max="10510" width="9.140625" style="472"/>
    <col min="10511" max="10511" width="11.140625" style="472" bestFit="1" customWidth="1"/>
    <col min="10512" max="10512" width="9.140625" style="472"/>
    <col min="10513" max="10513" width="0" style="472" hidden="1" customWidth="1"/>
    <col min="10514" max="10751" width="9.140625" style="472"/>
    <col min="10752" max="10752" width="4.28515625" style="472" customWidth="1"/>
    <col min="10753" max="10753" width="57.7109375" style="472" customWidth="1"/>
    <col min="10754" max="10755" width="14.140625" style="472" bestFit="1" customWidth="1"/>
    <col min="10756" max="10756" width="13.140625" style="472" customWidth="1"/>
    <col min="10757" max="10757" width="14.140625" style="472" customWidth="1"/>
    <col min="10758" max="10758" width="12.7109375" style="472" bestFit="1" customWidth="1"/>
    <col min="10759" max="10759" width="14.140625" style="472" bestFit="1" customWidth="1"/>
    <col min="10760" max="10760" width="12.140625" style="472" customWidth="1"/>
    <col min="10761" max="10761" width="14.140625" style="472" bestFit="1" customWidth="1"/>
    <col min="10762" max="10763" width="7.42578125" style="472" bestFit="1" customWidth="1"/>
    <col min="10764" max="10764" width="7.7109375" style="472" bestFit="1" customWidth="1"/>
    <col min="10765" max="10765" width="13" style="472" customWidth="1"/>
    <col min="10766" max="10766" width="9.140625" style="472"/>
    <col min="10767" max="10767" width="11.140625" style="472" bestFit="1" customWidth="1"/>
    <col min="10768" max="10768" width="9.140625" style="472"/>
    <col min="10769" max="10769" width="0" style="472" hidden="1" customWidth="1"/>
    <col min="10770" max="11007" width="9.140625" style="472"/>
    <col min="11008" max="11008" width="4.28515625" style="472" customWidth="1"/>
    <col min="11009" max="11009" width="57.7109375" style="472" customWidth="1"/>
    <col min="11010" max="11011" width="14.140625" style="472" bestFit="1" customWidth="1"/>
    <col min="11012" max="11012" width="13.140625" style="472" customWidth="1"/>
    <col min="11013" max="11013" width="14.140625" style="472" customWidth="1"/>
    <col min="11014" max="11014" width="12.7109375" style="472" bestFit="1" customWidth="1"/>
    <col min="11015" max="11015" width="14.140625" style="472" bestFit="1" customWidth="1"/>
    <col min="11016" max="11016" width="12.140625" style="472" customWidth="1"/>
    <col min="11017" max="11017" width="14.140625" style="472" bestFit="1" customWidth="1"/>
    <col min="11018" max="11019" width="7.42578125" style="472" bestFit="1" customWidth="1"/>
    <col min="11020" max="11020" width="7.7109375" style="472" bestFit="1" customWidth="1"/>
    <col min="11021" max="11021" width="13" style="472" customWidth="1"/>
    <col min="11022" max="11022" width="9.140625" style="472"/>
    <col min="11023" max="11023" width="11.140625" style="472" bestFit="1" customWidth="1"/>
    <col min="11024" max="11024" width="9.140625" style="472"/>
    <col min="11025" max="11025" width="0" style="472" hidden="1" customWidth="1"/>
    <col min="11026" max="11263" width="9.140625" style="472"/>
    <col min="11264" max="11264" width="4.28515625" style="472" customWidth="1"/>
    <col min="11265" max="11265" width="57.7109375" style="472" customWidth="1"/>
    <col min="11266" max="11267" width="14.140625" style="472" bestFit="1" customWidth="1"/>
    <col min="11268" max="11268" width="13.140625" style="472" customWidth="1"/>
    <col min="11269" max="11269" width="14.140625" style="472" customWidth="1"/>
    <col min="11270" max="11270" width="12.7109375" style="472" bestFit="1" customWidth="1"/>
    <col min="11271" max="11271" width="14.140625" style="472" bestFit="1" customWidth="1"/>
    <col min="11272" max="11272" width="12.140625" style="472" customWidth="1"/>
    <col min="11273" max="11273" width="14.140625" style="472" bestFit="1" customWidth="1"/>
    <col min="11274" max="11275" width="7.42578125" style="472" bestFit="1" customWidth="1"/>
    <col min="11276" max="11276" width="7.7109375" style="472" bestFit="1" customWidth="1"/>
    <col min="11277" max="11277" width="13" style="472" customWidth="1"/>
    <col min="11278" max="11278" width="9.140625" style="472"/>
    <col min="11279" max="11279" width="11.140625" style="472" bestFit="1" customWidth="1"/>
    <col min="11280" max="11280" width="9.140625" style="472"/>
    <col min="11281" max="11281" width="0" style="472" hidden="1" customWidth="1"/>
    <col min="11282" max="11519" width="9.140625" style="472"/>
    <col min="11520" max="11520" width="4.28515625" style="472" customWidth="1"/>
    <col min="11521" max="11521" width="57.7109375" style="472" customWidth="1"/>
    <col min="11522" max="11523" width="14.140625" style="472" bestFit="1" customWidth="1"/>
    <col min="11524" max="11524" width="13.140625" style="472" customWidth="1"/>
    <col min="11525" max="11525" width="14.140625" style="472" customWidth="1"/>
    <col min="11526" max="11526" width="12.7109375" style="472" bestFit="1" customWidth="1"/>
    <col min="11527" max="11527" width="14.140625" style="472" bestFit="1" customWidth="1"/>
    <col min="11528" max="11528" width="12.140625" style="472" customWidth="1"/>
    <col min="11529" max="11529" width="14.140625" style="472" bestFit="1" customWidth="1"/>
    <col min="11530" max="11531" width="7.42578125" style="472" bestFit="1" customWidth="1"/>
    <col min="11532" max="11532" width="7.7109375" style="472" bestFit="1" customWidth="1"/>
    <col min="11533" max="11533" width="13" style="472" customWidth="1"/>
    <col min="11534" max="11534" width="9.140625" style="472"/>
    <col min="11535" max="11535" width="11.140625" style="472" bestFit="1" customWidth="1"/>
    <col min="11536" max="11536" width="9.140625" style="472"/>
    <col min="11537" max="11537" width="0" style="472" hidden="1" customWidth="1"/>
    <col min="11538" max="11775" width="9.140625" style="472"/>
    <col min="11776" max="11776" width="4.28515625" style="472" customWidth="1"/>
    <col min="11777" max="11777" width="57.7109375" style="472" customWidth="1"/>
    <col min="11778" max="11779" width="14.140625" style="472" bestFit="1" customWidth="1"/>
    <col min="11780" max="11780" width="13.140625" style="472" customWidth="1"/>
    <col min="11781" max="11781" width="14.140625" style="472" customWidth="1"/>
    <col min="11782" max="11782" width="12.7109375" style="472" bestFit="1" customWidth="1"/>
    <col min="11783" max="11783" width="14.140625" style="472" bestFit="1" customWidth="1"/>
    <col min="11784" max="11784" width="12.140625" style="472" customWidth="1"/>
    <col min="11785" max="11785" width="14.140625" style="472" bestFit="1" customWidth="1"/>
    <col min="11786" max="11787" width="7.42578125" style="472" bestFit="1" customWidth="1"/>
    <col min="11788" max="11788" width="7.7109375" style="472" bestFit="1" customWidth="1"/>
    <col min="11789" max="11789" width="13" style="472" customWidth="1"/>
    <col min="11790" max="11790" width="9.140625" style="472"/>
    <col min="11791" max="11791" width="11.140625" style="472" bestFit="1" customWidth="1"/>
    <col min="11792" max="11792" width="9.140625" style="472"/>
    <col min="11793" max="11793" width="0" style="472" hidden="1" customWidth="1"/>
    <col min="11794" max="12031" width="9.140625" style="472"/>
    <col min="12032" max="12032" width="4.28515625" style="472" customWidth="1"/>
    <col min="12033" max="12033" width="57.7109375" style="472" customWidth="1"/>
    <col min="12034" max="12035" width="14.140625" style="472" bestFit="1" customWidth="1"/>
    <col min="12036" max="12036" width="13.140625" style="472" customWidth="1"/>
    <col min="12037" max="12037" width="14.140625" style="472" customWidth="1"/>
    <col min="12038" max="12038" width="12.7109375" style="472" bestFit="1" customWidth="1"/>
    <col min="12039" max="12039" width="14.140625" style="472" bestFit="1" customWidth="1"/>
    <col min="12040" max="12040" width="12.140625" style="472" customWidth="1"/>
    <col min="12041" max="12041" width="14.140625" style="472" bestFit="1" customWidth="1"/>
    <col min="12042" max="12043" width="7.42578125" style="472" bestFit="1" customWidth="1"/>
    <col min="12044" max="12044" width="7.7109375" style="472" bestFit="1" customWidth="1"/>
    <col min="12045" max="12045" width="13" style="472" customWidth="1"/>
    <col min="12046" max="12046" width="9.140625" style="472"/>
    <col min="12047" max="12047" width="11.140625" style="472" bestFit="1" customWidth="1"/>
    <col min="12048" max="12048" width="9.140625" style="472"/>
    <col min="12049" max="12049" width="0" style="472" hidden="1" customWidth="1"/>
    <col min="12050" max="12287" width="9.140625" style="472"/>
    <col min="12288" max="12288" width="4.28515625" style="472" customWidth="1"/>
    <col min="12289" max="12289" width="57.7109375" style="472" customWidth="1"/>
    <col min="12290" max="12291" width="14.140625" style="472" bestFit="1" customWidth="1"/>
    <col min="12292" max="12292" width="13.140625" style="472" customWidth="1"/>
    <col min="12293" max="12293" width="14.140625" style="472" customWidth="1"/>
    <col min="12294" max="12294" width="12.7109375" style="472" bestFit="1" customWidth="1"/>
    <col min="12295" max="12295" width="14.140625" style="472" bestFit="1" customWidth="1"/>
    <col min="12296" max="12296" width="12.140625" style="472" customWidth="1"/>
    <col min="12297" max="12297" width="14.140625" style="472" bestFit="1" customWidth="1"/>
    <col min="12298" max="12299" width="7.42578125" style="472" bestFit="1" customWidth="1"/>
    <col min="12300" max="12300" width="7.7109375" style="472" bestFit="1" customWidth="1"/>
    <col min="12301" max="12301" width="13" style="472" customWidth="1"/>
    <col min="12302" max="12302" width="9.140625" style="472"/>
    <col min="12303" max="12303" width="11.140625" style="472" bestFit="1" customWidth="1"/>
    <col min="12304" max="12304" width="9.140625" style="472"/>
    <col min="12305" max="12305" width="0" style="472" hidden="1" customWidth="1"/>
    <col min="12306" max="12543" width="9.140625" style="472"/>
    <col min="12544" max="12544" width="4.28515625" style="472" customWidth="1"/>
    <col min="12545" max="12545" width="57.7109375" style="472" customWidth="1"/>
    <col min="12546" max="12547" width="14.140625" style="472" bestFit="1" customWidth="1"/>
    <col min="12548" max="12548" width="13.140625" style="472" customWidth="1"/>
    <col min="12549" max="12549" width="14.140625" style="472" customWidth="1"/>
    <col min="12550" max="12550" width="12.7109375" style="472" bestFit="1" customWidth="1"/>
    <col min="12551" max="12551" width="14.140625" style="472" bestFit="1" customWidth="1"/>
    <col min="12552" max="12552" width="12.140625" style="472" customWidth="1"/>
    <col min="12553" max="12553" width="14.140625" style="472" bestFit="1" customWidth="1"/>
    <col min="12554" max="12555" width="7.42578125" style="472" bestFit="1" customWidth="1"/>
    <col min="12556" max="12556" width="7.7109375" style="472" bestFit="1" customWidth="1"/>
    <col min="12557" max="12557" width="13" style="472" customWidth="1"/>
    <col min="12558" max="12558" width="9.140625" style="472"/>
    <col min="12559" max="12559" width="11.140625" style="472" bestFit="1" customWidth="1"/>
    <col min="12560" max="12560" width="9.140625" style="472"/>
    <col min="12561" max="12561" width="0" style="472" hidden="1" customWidth="1"/>
    <col min="12562" max="12799" width="9.140625" style="472"/>
    <col min="12800" max="12800" width="4.28515625" style="472" customWidth="1"/>
    <col min="12801" max="12801" width="57.7109375" style="472" customWidth="1"/>
    <col min="12802" max="12803" width="14.140625" style="472" bestFit="1" customWidth="1"/>
    <col min="12804" max="12804" width="13.140625" style="472" customWidth="1"/>
    <col min="12805" max="12805" width="14.140625" style="472" customWidth="1"/>
    <col min="12806" max="12806" width="12.7109375" style="472" bestFit="1" customWidth="1"/>
    <col min="12807" max="12807" width="14.140625" style="472" bestFit="1" customWidth="1"/>
    <col min="12808" max="12808" width="12.140625" style="472" customWidth="1"/>
    <col min="12809" max="12809" width="14.140625" style="472" bestFit="1" customWidth="1"/>
    <col min="12810" max="12811" width="7.42578125" style="472" bestFit="1" customWidth="1"/>
    <col min="12812" max="12812" width="7.7109375" style="472" bestFit="1" customWidth="1"/>
    <col min="12813" max="12813" width="13" style="472" customWidth="1"/>
    <col min="12814" max="12814" width="9.140625" style="472"/>
    <col min="12815" max="12815" width="11.140625" style="472" bestFit="1" customWidth="1"/>
    <col min="12816" max="12816" width="9.140625" style="472"/>
    <col min="12817" max="12817" width="0" style="472" hidden="1" customWidth="1"/>
    <col min="12818" max="13055" width="9.140625" style="472"/>
    <col min="13056" max="13056" width="4.28515625" style="472" customWidth="1"/>
    <col min="13057" max="13057" width="57.7109375" style="472" customWidth="1"/>
    <col min="13058" max="13059" width="14.140625" style="472" bestFit="1" customWidth="1"/>
    <col min="13060" max="13060" width="13.140625" style="472" customWidth="1"/>
    <col min="13061" max="13061" width="14.140625" style="472" customWidth="1"/>
    <col min="13062" max="13062" width="12.7109375" style="472" bestFit="1" customWidth="1"/>
    <col min="13063" max="13063" width="14.140625" style="472" bestFit="1" customWidth="1"/>
    <col min="13064" max="13064" width="12.140625" style="472" customWidth="1"/>
    <col min="13065" max="13065" width="14.140625" style="472" bestFit="1" customWidth="1"/>
    <col min="13066" max="13067" width="7.42578125" style="472" bestFit="1" customWidth="1"/>
    <col min="13068" max="13068" width="7.7109375" style="472" bestFit="1" customWidth="1"/>
    <col min="13069" max="13069" width="13" style="472" customWidth="1"/>
    <col min="13070" max="13070" width="9.140625" style="472"/>
    <col min="13071" max="13071" width="11.140625" style="472" bestFit="1" customWidth="1"/>
    <col min="13072" max="13072" width="9.140625" style="472"/>
    <col min="13073" max="13073" width="0" style="472" hidden="1" customWidth="1"/>
    <col min="13074" max="13311" width="9.140625" style="472"/>
    <col min="13312" max="13312" width="4.28515625" style="472" customWidth="1"/>
    <col min="13313" max="13313" width="57.7109375" style="472" customWidth="1"/>
    <col min="13314" max="13315" width="14.140625" style="472" bestFit="1" customWidth="1"/>
    <col min="13316" max="13316" width="13.140625" style="472" customWidth="1"/>
    <col min="13317" max="13317" width="14.140625" style="472" customWidth="1"/>
    <col min="13318" max="13318" width="12.7109375" style="472" bestFit="1" customWidth="1"/>
    <col min="13319" max="13319" width="14.140625" style="472" bestFit="1" customWidth="1"/>
    <col min="13320" max="13320" width="12.140625" style="472" customWidth="1"/>
    <col min="13321" max="13321" width="14.140625" style="472" bestFit="1" customWidth="1"/>
    <col min="13322" max="13323" width="7.42578125" style="472" bestFit="1" customWidth="1"/>
    <col min="13324" max="13324" width="7.7109375" style="472" bestFit="1" customWidth="1"/>
    <col min="13325" max="13325" width="13" style="472" customWidth="1"/>
    <col min="13326" max="13326" width="9.140625" style="472"/>
    <col min="13327" max="13327" width="11.140625" style="472" bestFit="1" customWidth="1"/>
    <col min="13328" max="13328" width="9.140625" style="472"/>
    <col min="13329" max="13329" width="0" style="472" hidden="1" customWidth="1"/>
    <col min="13330" max="13567" width="9.140625" style="472"/>
    <col min="13568" max="13568" width="4.28515625" style="472" customWidth="1"/>
    <col min="13569" max="13569" width="57.7109375" style="472" customWidth="1"/>
    <col min="13570" max="13571" width="14.140625" style="472" bestFit="1" customWidth="1"/>
    <col min="13572" max="13572" width="13.140625" style="472" customWidth="1"/>
    <col min="13573" max="13573" width="14.140625" style="472" customWidth="1"/>
    <col min="13574" max="13574" width="12.7109375" style="472" bestFit="1" customWidth="1"/>
    <col min="13575" max="13575" width="14.140625" style="472" bestFit="1" customWidth="1"/>
    <col min="13576" max="13576" width="12.140625" style="472" customWidth="1"/>
    <col min="13577" max="13577" width="14.140625" style="472" bestFit="1" customWidth="1"/>
    <col min="13578" max="13579" width="7.42578125" style="472" bestFit="1" customWidth="1"/>
    <col min="13580" max="13580" width="7.7109375" style="472" bestFit="1" customWidth="1"/>
    <col min="13581" max="13581" width="13" style="472" customWidth="1"/>
    <col min="13582" max="13582" width="9.140625" style="472"/>
    <col min="13583" max="13583" width="11.140625" style="472" bestFit="1" customWidth="1"/>
    <col min="13584" max="13584" width="9.140625" style="472"/>
    <col min="13585" max="13585" width="0" style="472" hidden="1" customWidth="1"/>
    <col min="13586" max="13823" width="9.140625" style="472"/>
    <col min="13824" max="13824" width="4.28515625" style="472" customWidth="1"/>
    <col min="13825" max="13825" width="57.7109375" style="472" customWidth="1"/>
    <col min="13826" max="13827" width="14.140625" style="472" bestFit="1" customWidth="1"/>
    <col min="13828" max="13828" width="13.140625" style="472" customWidth="1"/>
    <col min="13829" max="13829" width="14.140625" style="472" customWidth="1"/>
    <col min="13830" max="13830" width="12.7109375" style="472" bestFit="1" customWidth="1"/>
    <col min="13831" max="13831" width="14.140625" style="472" bestFit="1" customWidth="1"/>
    <col min="13832" max="13832" width="12.140625" style="472" customWidth="1"/>
    <col min="13833" max="13833" width="14.140625" style="472" bestFit="1" customWidth="1"/>
    <col min="13834" max="13835" width="7.42578125" style="472" bestFit="1" customWidth="1"/>
    <col min="13836" max="13836" width="7.7109375" style="472" bestFit="1" customWidth="1"/>
    <col min="13837" max="13837" width="13" style="472" customWidth="1"/>
    <col min="13838" max="13838" width="9.140625" style="472"/>
    <col min="13839" max="13839" width="11.140625" style="472" bestFit="1" customWidth="1"/>
    <col min="13840" max="13840" width="9.140625" style="472"/>
    <col min="13841" max="13841" width="0" style="472" hidden="1" customWidth="1"/>
    <col min="13842" max="14079" width="9.140625" style="472"/>
    <col min="14080" max="14080" width="4.28515625" style="472" customWidth="1"/>
    <col min="14081" max="14081" width="57.7109375" style="472" customWidth="1"/>
    <col min="14082" max="14083" width="14.140625" style="472" bestFit="1" customWidth="1"/>
    <col min="14084" max="14084" width="13.140625" style="472" customWidth="1"/>
    <col min="14085" max="14085" width="14.140625" style="472" customWidth="1"/>
    <col min="14086" max="14086" width="12.7109375" style="472" bestFit="1" customWidth="1"/>
    <col min="14087" max="14087" width="14.140625" style="472" bestFit="1" customWidth="1"/>
    <col min="14088" max="14088" width="12.140625" style="472" customWidth="1"/>
    <col min="14089" max="14089" width="14.140625" style="472" bestFit="1" customWidth="1"/>
    <col min="14090" max="14091" width="7.42578125" style="472" bestFit="1" customWidth="1"/>
    <col min="14092" max="14092" width="7.7109375" style="472" bestFit="1" customWidth="1"/>
    <col min="14093" max="14093" width="13" style="472" customWidth="1"/>
    <col min="14094" max="14094" width="9.140625" style="472"/>
    <col min="14095" max="14095" width="11.140625" style="472" bestFit="1" customWidth="1"/>
    <col min="14096" max="14096" width="9.140625" style="472"/>
    <col min="14097" max="14097" width="0" style="472" hidden="1" customWidth="1"/>
    <col min="14098" max="14335" width="9.140625" style="472"/>
    <col min="14336" max="14336" width="4.28515625" style="472" customWidth="1"/>
    <col min="14337" max="14337" width="57.7109375" style="472" customWidth="1"/>
    <col min="14338" max="14339" width="14.140625" style="472" bestFit="1" customWidth="1"/>
    <col min="14340" max="14340" width="13.140625" style="472" customWidth="1"/>
    <col min="14341" max="14341" width="14.140625" style="472" customWidth="1"/>
    <col min="14342" max="14342" width="12.7109375" style="472" bestFit="1" customWidth="1"/>
    <col min="14343" max="14343" width="14.140625" style="472" bestFit="1" customWidth="1"/>
    <col min="14344" max="14344" width="12.140625" style="472" customWidth="1"/>
    <col min="14345" max="14345" width="14.140625" style="472" bestFit="1" customWidth="1"/>
    <col min="14346" max="14347" width="7.42578125" style="472" bestFit="1" customWidth="1"/>
    <col min="14348" max="14348" width="7.7109375" style="472" bestFit="1" customWidth="1"/>
    <col min="14349" max="14349" width="13" style="472" customWidth="1"/>
    <col min="14350" max="14350" width="9.140625" style="472"/>
    <col min="14351" max="14351" width="11.140625" style="472" bestFit="1" customWidth="1"/>
    <col min="14352" max="14352" width="9.140625" style="472"/>
    <col min="14353" max="14353" width="0" style="472" hidden="1" customWidth="1"/>
    <col min="14354" max="14591" width="9.140625" style="472"/>
    <col min="14592" max="14592" width="4.28515625" style="472" customWidth="1"/>
    <col min="14593" max="14593" width="57.7109375" style="472" customWidth="1"/>
    <col min="14594" max="14595" width="14.140625" style="472" bestFit="1" customWidth="1"/>
    <col min="14596" max="14596" width="13.140625" style="472" customWidth="1"/>
    <col min="14597" max="14597" width="14.140625" style="472" customWidth="1"/>
    <col min="14598" max="14598" width="12.7109375" style="472" bestFit="1" customWidth="1"/>
    <col min="14599" max="14599" width="14.140625" style="472" bestFit="1" customWidth="1"/>
    <col min="14600" max="14600" width="12.140625" style="472" customWidth="1"/>
    <col min="14601" max="14601" width="14.140625" style="472" bestFit="1" customWidth="1"/>
    <col min="14602" max="14603" width="7.42578125" style="472" bestFit="1" customWidth="1"/>
    <col min="14604" max="14604" width="7.7109375" style="472" bestFit="1" customWidth="1"/>
    <col min="14605" max="14605" width="13" style="472" customWidth="1"/>
    <col min="14606" max="14606" width="9.140625" style="472"/>
    <col min="14607" max="14607" width="11.140625" style="472" bestFit="1" customWidth="1"/>
    <col min="14608" max="14608" width="9.140625" style="472"/>
    <col min="14609" max="14609" width="0" style="472" hidden="1" customWidth="1"/>
    <col min="14610" max="14847" width="9.140625" style="472"/>
    <col min="14848" max="14848" width="4.28515625" style="472" customWidth="1"/>
    <col min="14849" max="14849" width="57.7109375" style="472" customWidth="1"/>
    <col min="14850" max="14851" width="14.140625" style="472" bestFit="1" customWidth="1"/>
    <col min="14852" max="14852" width="13.140625" style="472" customWidth="1"/>
    <col min="14853" max="14853" width="14.140625" style="472" customWidth="1"/>
    <col min="14854" max="14854" width="12.7109375" style="472" bestFit="1" customWidth="1"/>
    <col min="14855" max="14855" width="14.140625" style="472" bestFit="1" customWidth="1"/>
    <col min="14856" max="14856" width="12.140625" style="472" customWidth="1"/>
    <col min="14857" max="14857" width="14.140625" style="472" bestFit="1" customWidth="1"/>
    <col min="14858" max="14859" width="7.42578125" style="472" bestFit="1" customWidth="1"/>
    <col min="14860" max="14860" width="7.7109375" style="472" bestFit="1" customWidth="1"/>
    <col min="14861" max="14861" width="13" style="472" customWidth="1"/>
    <col min="14862" max="14862" width="9.140625" style="472"/>
    <col min="14863" max="14863" width="11.140625" style="472" bestFit="1" customWidth="1"/>
    <col min="14864" max="14864" width="9.140625" style="472"/>
    <col min="14865" max="14865" width="0" style="472" hidden="1" customWidth="1"/>
    <col min="14866" max="15103" width="9.140625" style="472"/>
    <col min="15104" max="15104" width="4.28515625" style="472" customWidth="1"/>
    <col min="15105" max="15105" width="57.7109375" style="472" customWidth="1"/>
    <col min="15106" max="15107" width="14.140625" style="472" bestFit="1" customWidth="1"/>
    <col min="15108" max="15108" width="13.140625" style="472" customWidth="1"/>
    <col min="15109" max="15109" width="14.140625" style="472" customWidth="1"/>
    <col min="15110" max="15110" width="12.7109375" style="472" bestFit="1" customWidth="1"/>
    <col min="15111" max="15111" width="14.140625" style="472" bestFit="1" customWidth="1"/>
    <col min="15112" max="15112" width="12.140625" style="472" customWidth="1"/>
    <col min="15113" max="15113" width="14.140625" style="472" bestFit="1" customWidth="1"/>
    <col min="15114" max="15115" width="7.42578125" style="472" bestFit="1" customWidth="1"/>
    <col min="15116" max="15116" width="7.7109375" style="472" bestFit="1" customWidth="1"/>
    <col min="15117" max="15117" width="13" style="472" customWidth="1"/>
    <col min="15118" max="15118" width="9.140625" style="472"/>
    <col min="15119" max="15119" width="11.140625" style="472" bestFit="1" customWidth="1"/>
    <col min="15120" max="15120" width="9.140625" style="472"/>
    <col min="15121" max="15121" width="0" style="472" hidden="1" customWidth="1"/>
    <col min="15122" max="15359" width="9.140625" style="472"/>
    <col min="15360" max="15360" width="4.28515625" style="472" customWidth="1"/>
    <col min="15361" max="15361" width="57.7109375" style="472" customWidth="1"/>
    <col min="15362" max="15363" width="14.140625" style="472" bestFit="1" customWidth="1"/>
    <col min="15364" max="15364" width="13.140625" style="472" customWidth="1"/>
    <col min="15365" max="15365" width="14.140625" style="472" customWidth="1"/>
    <col min="15366" max="15366" width="12.7109375" style="472" bestFit="1" customWidth="1"/>
    <col min="15367" max="15367" width="14.140625" style="472" bestFit="1" customWidth="1"/>
    <col min="15368" max="15368" width="12.140625" style="472" customWidth="1"/>
    <col min="15369" max="15369" width="14.140625" style="472" bestFit="1" customWidth="1"/>
    <col min="15370" max="15371" width="7.42578125" style="472" bestFit="1" customWidth="1"/>
    <col min="15372" max="15372" width="7.7109375" style="472" bestFit="1" customWidth="1"/>
    <col min="15373" max="15373" width="13" style="472" customWidth="1"/>
    <col min="15374" max="15374" width="9.140625" style="472"/>
    <col min="15375" max="15375" width="11.140625" style="472" bestFit="1" customWidth="1"/>
    <col min="15376" max="15376" width="9.140625" style="472"/>
    <col min="15377" max="15377" width="0" style="472" hidden="1" customWidth="1"/>
    <col min="15378" max="15615" width="9.140625" style="472"/>
    <col min="15616" max="15616" width="4.28515625" style="472" customWidth="1"/>
    <col min="15617" max="15617" width="57.7109375" style="472" customWidth="1"/>
    <col min="15618" max="15619" width="14.140625" style="472" bestFit="1" customWidth="1"/>
    <col min="15620" max="15620" width="13.140625" style="472" customWidth="1"/>
    <col min="15621" max="15621" width="14.140625" style="472" customWidth="1"/>
    <col min="15622" max="15622" width="12.7109375" style="472" bestFit="1" customWidth="1"/>
    <col min="15623" max="15623" width="14.140625" style="472" bestFit="1" customWidth="1"/>
    <col min="15624" max="15624" width="12.140625" style="472" customWidth="1"/>
    <col min="15625" max="15625" width="14.140625" style="472" bestFit="1" customWidth="1"/>
    <col min="15626" max="15627" width="7.42578125" style="472" bestFit="1" customWidth="1"/>
    <col min="15628" max="15628" width="7.7109375" style="472" bestFit="1" customWidth="1"/>
    <col min="15629" max="15629" width="13" style="472" customWidth="1"/>
    <col min="15630" max="15630" width="9.140625" style="472"/>
    <col min="15631" max="15631" width="11.140625" style="472" bestFit="1" customWidth="1"/>
    <col min="15632" max="15632" width="9.140625" style="472"/>
    <col min="15633" max="15633" width="0" style="472" hidden="1" customWidth="1"/>
    <col min="15634" max="15871" width="9.140625" style="472"/>
    <col min="15872" max="15872" width="4.28515625" style="472" customWidth="1"/>
    <col min="15873" max="15873" width="57.7109375" style="472" customWidth="1"/>
    <col min="15874" max="15875" width="14.140625" style="472" bestFit="1" customWidth="1"/>
    <col min="15876" max="15876" width="13.140625" style="472" customWidth="1"/>
    <col min="15877" max="15877" width="14.140625" style="472" customWidth="1"/>
    <col min="15878" max="15878" width="12.7109375" style="472" bestFit="1" customWidth="1"/>
    <col min="15879" max="15879" width="14.140625" style="472" bestFit="1" customWidth="1"/>
    <col min="15880" max="15880" width="12.140625" style="472" customWidth="1"/>
    <col min="15881" max="15881" width="14.140625" style="472" bestFit="1" customWidth="1"/>
    <col min="15882" max="15883" width="7.42578125" style="472" bestFit="1" customWidth="1"/>
    <col min="15884" max="15884" width="7.7109375" style="472" bestFit="1" customWidth="1"/>
    <col min="15885" max="15885" width="13" style="472" customWidth="1"/>
    <col min="15886" max="15886" width="9.140625" style="472"/>
    <col min="15887" max="15887" width="11.140625" style="472" bestFit="1" customWidth="1"/>
    <col min="15888" max="15888" width="9.140625" style="472"/>
    <col min="15889" max="15889" width="0" style="472" hidden="1" customWidth="1"/>
    <col min="15890" max="16127" width="9.140625" style="472"/>
    <col min="16128" max="16128" width="4.28515625" style="472" customWidth="1"/>
    <col min="16129" max="16129" width="57.7109375" style="472" customWidth="1"/>
    <col min="16130" max="16131" width="14.140625" style="472" bestFit="1" customWidth="1"/>
    <col min="16132" max="16132" width="13.140625" style="472" customWidth="1"/>
    <col min="16133" max="16133" width="14.140625" style="472" customWidth="1"/>
    <col min="16134" max="16134" width="12.7109375" style="472" bestFit="1" customWidth="1"/>
    <col min="16135" max="16135" width="14.140625" style="472" bestFit="1" customWidth="1"/>
    <col min="16136" max="16136" width="12.140625" style="472" customWidth="1"/>
    <col min="16137" max="16137" width="14.140625" style="472" bestFit="1" customWidth="1"/>
    <col min="16138" max="16139" width="7.42578125" style="472" bestFit="1" customWidth="1"/>
    <col min="16140" max="16140" width="7.7109375" style="472" bestFit="1" customWidth="1"/>
    <col min="16141" max="16141" width="13" style="472" customWidth="1"/>
    <col min="16142" max="16142" width="9.140625" style="472"/>
    <col min="16143" max="16143" width="11.140625" style="472" bestFit="1" customWidth="1"/>
    <col min="16144" max="16144" width="9.140625" style="472"/>
    <col min="16145" max="16145" width="0" style="472" hidden="1" customWidth="1"/>
    <col min="16146" max="16384" width="9.140625" style="472"/>
  </cols>
  <sheetData>
    <row r="1" spans="1:20" ht="20.25" x14ac:dyDescent="0.3">
      <c r="A1" s="469" t="s">
        <v>328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70"/>
      <c r="O1" s="471"/>
      <c r="P1" s="471"/>
      <c r="Q1" s="471"/>
      <c r="R1" s="471"/>
      <c r="S1" s="471"/>
      <c r="T1" s="471"/>
    </row>
    <row r="2" spans="1:20" x14ac:dyDescent="0.2">
      <c r="A2" s="406" t="s">
        <v>0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70"/>
      <c r="O2" s="471"/>
      <c r="P2" s="471"/>
      <c r="Q2" s="471"/>
      <c r="R2" s="471"/>
      <c r="S2" s="471"/>
      <c r="T2" s="471"/>
    </row>
    <row r="3" spans="1:20" x14ac:dyDescent="0.2">
      <c r="A3" s="406"/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70"/>
      <c r="O3" s="471"/>
      <c r="P3" s="471"/>
      <c r="Q3" s="471"/>
      <c r="R3" s="471"/>
      <c r="S3" s="471"/>
      <c r="T3" s="471"/>
    </row>
    <row r="4" spans="1:20" s="473" customFormat="1" x14ac:dyDescent="0.2">
      <c r="A4" s="533"/>
      <c r="B4" s="534" t="s">
        <v>329</v>
      </c>
      <c r="C4" s="475"/>
      <c r="D4" s="475"/>
      <c r="E4" s="475"/>
      <c r="F4" s="475" t="s">
        <v>44</v>
      </c>
      <c r="G4" s="475"/>
      <c r="H4" s="475"/>
      <c r="I4" s="475"/>
      <c r="J4" s="479" t="s">
        <v>45</v>
      </c>
      <c r="K4" s="479" t="s">
        <v>45</v>
      </c>
      <c r="L4" s="475" t="s">
        <v>45</v>
      </c>
      <c r="M4" s="40"/>
    </row>
    <row r="5" spans="1:20" s="473" customFormat="1" x14ac:dyDescent="0.2">
      <c r="A5" s="45"/>
      <c r="B5" s="474" t="s">
        <v>330</v>
      </c>
      <c r="C5" s="475"/>
      <c r="D5" s="476"/>
      <c r="E5" s="477" t="s">
        <v>44</v>
      </c>
      <c r="F5" s="478"/>
      <c r="G5" s="479"/>
      <c r="H5" s="479"/>
      <c r="I5" s="475" t="s">
        <v>331</v>
      </c>
      <c r="J5" s="480" t="s">
        <v>52</v>
      </c>
      <c r="K5" s="480" t="s">
        <v>52</v>
      </c>
      <c r="L5" s="481" t="s">
        <v>52</v>
      </c>
      <c r="M5" s="329" t="s">
        <v>332</v>
      </c>
    </row>
    <row r="6" spans="1:20" s="473" customFormat="1" ht="15" x14ac:dyDescent="0.25">
      <c r="A6" s="45"/>
      <c r="B6" s="474" t="s">
        <v>46</v>
      </c>
      <c r="C6" s="481" t="s">
        <v>283</v>
      </c>
      <c r="D6" s="480" t="s">
        <v>183</v>
      </c>
      <c r="E6" s="480" t="s">
        <v>183</v>
      </c>
      <c r="F6" s="482" t="s">
        <v>333</v>
      </c>
      <c r="G6" s="480" t="s">
        <v>49</v>
      </c>
      <c r="H6" s="480" t="s">
        <v>50</v>
      </c>
      <c r="I6" s="481" t="s">
        <v>334</v>
      </c>
      <c r="J6" s="483" t="s">
        <v>335</v>
      </c>
      <c r="K6" s="483" t="s">
        <v>336</v>
      </c>
      <c r="L6" s="482" t="s">
        <v>46</v>
      </c>
      <c r="M6" s="46"/>
    </row>
    <row r="7" spans="1:20" s="473" customFormat="1" ht="15.75" thickBot="1" x14ac:dyDescent="0.3">
      <c r="A7" s="45"/>
      <c r="B7" s="474"/>
      <c r="C7" s="481"/>
      <c r="D7" s="483" t="s">
        <v>337</v>
      </c>
      <c r="E7" s="483" t="s">
        <v>338</v>
      </c>
      <c r="F7" s="481"/>
      <c r="G7" s="480"/>
      <c r="H7" s="480"/>
      <c r="I7" s="481"/>
      <c r="J7" s="483" t="s">
        <v>339</v>
      </c>
      <c r="K7" s="483" t="s">
        <v>340</v>
      </c>
      <c r="L7" s="481"/>
      <c r="M7" s="46"/>
    </row>
    <row r="8" spans="1:20" s="473" customFormat="1" ht="13.5" thickBot="1" x14ac:dyDescent="0.25">
      <c r="A8" s="50"/>
      <c r="B8" s="484">
        <v>1</v>
      </c>
      <c r="C8" s="485">
        <v>2</v>
      </c>
      <c r="D8" s="486">
        <v>3</v>
      </c>
      <c r="E8" s="486">
        <v>4</v>
      </c>
      <c r="F8" s="485">
        <v>4</v>
      </c>
      <c r="G8" s="486">
        <v>5</v>
      </c>
      <c r="H8" s="486">
        <v>6</v>
      </c>
      <c r="I8" s="486">
        <v>7</v>
      </c>
      <c r="J8" s="486">
        <v>8</v>
      </c>
      <c r="K8" s="486">
        <v>9</v>
      </c>
      <c r="L8" s="485">
        <v>10</v>
      </c>
      <c r="M8" s="535">
        <v>11</v>
      </c>
    </row>
    <row r="9" spans="1:20" x14ac:dyDescent="0.2">
      <c r="A9" s="536" t="s">
        <v>341</v>
      </c>
      <c r="B9" s="487"/>
      <c r="C9" s="488"/>
      <c r="D9" s="489"/>
      <c r="E9" s="489"/>
      <c r="F9" s="488"/>
      <c r="G9" s="489"/>
      <c r="H9" s="489"/>
      <c r="I9" s="488"/>
      <c r="J9" s="489"/>
      <c r="K9" s="489"/>
      <c r="L9" s="490"/>
      <c r="M9" s="537"/>
      <c r="N9" s="471"/>
      <c r="O9" s="471"/>
      <c r="P9" s="471"/>
      <c r="Q9" s="471"/>
      <c r="R9" s="471"/>
      <c r="S9" s="471"/>
      <c r="T9" s="471"/>
    </row>
    <row r="10" spans="1:20" x14ac:dyDescent="0.2">
      <c r="A10" s="538"/>
      <c r="B10" s="491"/>
      <c r="C10" s="492"/>
      <c r="D10" s="493"/>
      <c r="E10" s="493"/>
      <c r="F10" s="492"/>
      <c r="G10" s="493"/>
      <c r="H10" s="493"/>
      <c r="I10" s="492"/>
      <c r="J10" s="493"/>
      <c r="K10" s="493"/>
      <c r="L10" s="494"/>
      <c r="M10" s="539"/>
      <c r="N10" s="471"/>
      <c r="O10" s="471"/>
      <c r="P10" s="471"/>
      <c r="Q10" s="471"/>
      <c r="R10" s="471"/>
      <c r="S10" s="471"/>
      <c r="T10" s="471"/>
    </row>
    <row r="11" spans="1:20" x14ac:dyDescent="0.2">
      <c r="A11" s="540" t="s">
        <v>342</v>
      </c>
      <c r="B11" s="495">
        <f>C11+G11+H11+I11</f>
        <v>303881337</v>
      </c>
      <c r="C11" s="496">
        <f t="shared" ref="C11:C33" si="0">D11+E11+F11</f>
        <v>224717493</v>
      </c>
      <c r="D11" s="184">
        <v>24600000</v>
      </c>
      <c r="E11" s="184">
        <v>193252515</v>
      </c>
      <c r="F11" s="496">
        <v>6864978</v>
      </c>
      <c r="G11" s="127">
        <v>75893948</v>
      </c>
      <c r="H11" s="184">
        <v>3269896</v>
      </c>
      <c r="I11" s="496"/>
      <c r="J11" s="184">
        <v>50</v>
      </c>
      <c r="K11" s="184">
        <v>418</v>
      </c>
      <c r="L11" s="496">
        <f t="shared" ref="L11:L30" si="1">J11+K11</f>
        <v>468</v>
      </c>
      <c r="M11" s="541"/>
      <c r="N11" s="471"/>
      <c r="O11" s="471"/>
      <c r="P11" s="471"/>
      <c r="Q11" s="497"/>
      <c r="R11" s="471"/>
      <c r="S11" s="471"/>
      <c r="T11" s="471"/>
    </row>
    <row r="12" spans="1:20" x14ac:dyDescent="0.2">
      <c r="A12" s="540" t="s">
        <v>343</v>
      </c>
      <c r="B12" s="495">
        <f t="shared" ref="B12:B33" si="2">C12+G12+H12+I12</f>
        <v>911000</v>
      </c>
      <c r="C12" s="496">
        <f t="shared" si="0"/>
        <v>0</v>
      </c>
      <c r="D12" s="498"/>
      <c r="E12" s="498"/>
      <c r="F12" s="499"/>
      <c r="G12" s="500"/>
      <c r="H12" s="500"/>
      <c r="I12" s="501">
        <v>911000</v>
      </c>
      <c r="J12" s="181"/>
      <c r="K12" s="181"/>
      <c r="L12" s="501">
        <f t="shared" si="1"/>
        <v>0</v>
      </c>
      <c r="M12" s="542"/>
      <c r="N12" s="471"/>
      <c r="O12" s="471"/>
      <c r="P12" s="471"/>
      <c r="Q12" s="497"/>
      <c r="R12" s="471"/>
      <c r="S12" s="471"/>
      <c r="T12" s="471"/>
    </row>
    <row r="13" spans="1:20" x14ac:dyDescent="0.2">
      <c r="A13" s="540" t="s">
        <v>344</v>
      </c>
      <c r="B13" s="495">
        <f t="shared" si="2"/>
        <v>2110000</v>
      </c>
      <c r="C13" s="496">
        <f t="shared" si="0"/>
        <v>0</v>
      </c>
      <c r="D13" s="498"/>
      <c r="E13" s="498"/>
      <c r="F13" s="499"/>
      <c r="G13" s="500"/>
      <c r="H13" s="500"/>
      <c r="I13" s="501">
        <v>2110000</v>
      </c>
      <c r="J13" s="181"/>
      <c r="K13" s="181"/>
      <c r="L13" s="501">
        <f t="shared" si="1"/>
        <v>0</v>
      </c>
      <c r="M13" s="542"/>
      <c r="N13" s="470"/>
      <c r="O13" s="471"/>
      <c r="P13" s="471"/>
      <c r="Q13" s="502"/>
      <c r="R13" s="471"/>
      <c r="S13" s="471"/>
      <c r="T13" s="471"/>
    </row>
    <row r="14" spans="1:20" x14ac:dyDescent="0.2">
      <c r="A14" s="540" t="s">
        <v>345</v>
      </c>
      <c r="B14" s="495">
        <f t="shared" si="2"/>
        <v>13899697</v>
      </c>
      <c r="C14" s="496">
        <f t="shared" si="0"/>
        <v>11514102</v>
      </c>
      <c r="D14" s="498"/>
      <c r="E14" s="498"/>
      <c r="F14" s="501">
        <f>SUM(F15:F20)</f>
        <v>11514102</v>
      </c>
      <c r="G14" s="184">
        <f>SUM(G15:G20)</f>
        <v>2385595</v>
      </c>
      <c r="H14" s="181"/>
      <c r="I14" s="501">
        <f>SUM(I15:I20)</f>
        <v>0</v>
      </c>
      <c r="J14" s="181"/>
      <c r="K14" s="181"/>
      <c r="L14" s="501">
        <f t="shared" si="1"/>
        <v>0</v>
      </c>
      <c r="M14" s="542"/>
      <c r="N14" s="470"/>
      <c r="O14" s="471"/>
      <c r="P14" s="471"/>
      <c r="Q14" s="502"/>
      <c r="R14" s="471"/>
      <c r="S14" s="471"/>
      <c r="T14" s="471"/>
    </row>
    <row r="15" spans="1:20" x14ac:dyDescent="0.2">
      <c r="A15" s="543" t="s">
        <v>346</v>
      </c>
      <c r="B15" s="495">
        <f t="shared" si="2"/>
        <v>351700</v>
      </c>
      <c r="C15" s="496">
        <f t="shared" si="0"/>
        <v>265000</v>
      </c>
      <c r="D15" s="507"/>
      <c r="E15" s="507"/>
      <c r="F15" s="87">
        <v>265000</v>
      </c>
      <c r="G15" s="87">
        <v>86700</v>
      </c>
      <c r="H15" s="181"/>
      <c r="I15" s="499"/>
      <c r="J15" s="181"/>
      <c r="K15" s="181"/>
      <c r="L15" s="496">
        <f t="shared" si="1"/>
        <v>0</v>
      </c>
      <c r="M15" s="125"/>
      <c r="N15" s="471"/>
      <c r="O15" s="471"/>
      <c r="P15" s="471"/>
      <c r="Q15" s="503"/>
      <c r="R15" s="471"/>
      <c r="S15" s="471"/>
      <c r="T15" s="471"/>
    </row>
    <row r="16" spans="1:20" x14ac:dyDescent="0.2">
      <c r="A16" s="543" t="s">
        <v>347</v>
      </c>
      <c r="B16" s="495">
        <f t="shared" si="2"/>
        <v>4528757</v>
      </c>
      <c r="C16" s="496">
        <f t="shared" si="0"/>
        <v>3703602</v>
      </c>
      <c r="D16" s="507"/>
      <c r="E16" s="507"/>
      <c r="F16" s="87">
        <v>3703602</v>
      </c>
      <c r="G16" s="87">
        <v>825155</v>
      </c>
      <c r="H16" s="181"/>
      <c r="I16" s="499"/>
      <c r="J16" s="181"/>
      <c r="K16" s="181"/>
      <c r="L16" s="496">
        <f t="shared" si="1"/>
        <v>0</v>
      </c>
      <c r="M16" s="125"/>
      <c r="N16" s="471"/>
      <c r="O16" s="471"/>
      <c r="P16" s="471"/>
      <c r="Q16" s="471"/>
      <c r="R16" s="471"/>
      <c r="S16" s="471"/>
      <c r="T16" s="471"/>
    </row>
    <row r="17" spans="1:20" x14ac:dyDescent="0.2">
      <c r="A17" s="543" t="s">
        <v>348</v>
      </c>
      <c r="B17" s="495">
        <f t="shared" si="2"/>
        <v>358000</v>
      </c>
      <c r="C17" s="496">
        <f t="shared" si="0"/>
        <v>267000</v>
      </c>
      <c r="D17" s="507"/>
      <c r="E17" s="507"/>
      <c r="F17" s="87">
        <v>267000</v>
      </c>
      <c r="G17" s="87">
        <v>91000</v>
      </c>
      <c r="H17" s="181"/>
      <c r="I17" s="499"/>
      <c r="J17" s="181"/>
      <c r="K17" s="181"/>
      <c r="L17" s="496">
        <f t="shared" si="1"/>
        <v>0</v>
      </c>
      <c r="M17" s="125"/>
      <c r="N17" s="471"/>
      <c r="O17" s="471"/>
      <c r="P17" s="471"/>
      <c r="Q17" s="471"/>
      <c r="R17" s="471"/>
      <c r="S17" s="471"/>
      <c r="T17" s="471"/>
    </row>
    <row r="18" spans="1:20" x14ac:dyDescent="0.2">
      <c r="A18" s="543" t="s">
        <v>349</v>
      </c>
      <c r="B18" s="495">
        <f t="shared" si="2"/>
        <v>134000</v>
      </c>
      <c r="C18" s="496">
        <f t="shared" si="0"/>
        <v>134000</v>
      </c>
      <c r="D18" s="507"/>
      <c r="E18" s="507"/>
      <c r="F18" s="87">
        <v>134000</v>
      </c>
      <c r="G18" s="87">
        <v>0</v>
      </c>
      <c r="H18" s="181"/>
      <c r="I18" s="499"/>
      <c r="J18" s="181"/>
      <c r="K18" s="181"/>
      <c r="L18" s="496">
        <f t="shared" si="1"/>
        <v>0</v>
      </c>
      <c r="M18" s="125"/>
      <c r="N18" s="473"/>
      <c r="O18" s="471"/>
      <c r="P18" s="471"/>
      <c r="Q18" s="471"/>
      <c r="R18" s="471"/>
      <c r="S18" s="471"/>
      <c r="T18" s="471"/>
    </row>
    <row r="19" spans="1:20" x14ac:dyDescent="0.2">
      <c r="A19" s="543" t="s">
        <v>350</v>
      </c>
      <c r="B19" s="495">
        <f t="shared" si="2"/>
        <v>837280</v>
      </c>
      <c r="C19" s="496">
        <f t="shared" si="0"/>
        <v>751600</v>
      </c>
      <c r="D19" s="507"/>
      <c r="E19" s="507"/>
      <c r="F19" s="87">
        <v>751600</v>
      </c>
      <c r="G19" s="87">
        <v>85680</v>
      </c>
      <c r="H19" s="181"/>
      <c r="I19" s="499"/>
      <c r="J19" s="181"/>
      <c r="K19" s="181"/>
      <c r="L19" s="496">
        <f t="shared" si="1"/>
        <v>0</v>
      </c>
      <c r="M19" s="125"/>
      <c r="N19" s="473"/>
      <c r="O19" s="471"/>
      <c r="P19" s="471"/>
      <c r="Q19" s="471"/>
      <c r="R19" s="471"/>
      <c r="S19" s="471"/>
      <c r="T19" s="471"/>
    </row>
    <row r="20" spans="1:20" x14ac:dyDescent="0.2">
      <c r="A20" s="543" t="s">
        <v>351</v>
      </c>
      <c r="B20" s="495">
        <f t="shared" si="2"/>
        <v>7689960</v>
      </c>
      <c r="C20" s="496">
        <f t="shared" si="0"/>
        <v>6392900</v>
      </c>
      <c r="D20" s="507"/>
      <c r="E20" s="507"/>
      <c r="F20" s="496">
        <v>6392900</v>
      </c>
      <c r="G20" s="184">
        <v>1297060</v>
      </c>
      <c r="H20" s="184"/>
      <c r="I20" s="496"/>
      <c r="J20" s="184"/>
      <c r="K20" s="184"/>
      <c r="L20" s="496">
        <f t="shared" si="1"/>
        <v>0</v>
      </c>
      <c r="M20" s="125"/>
      <c r="N20" s="470"/>
      <c r="O20" s="471"/>
      <c r="P20" s="471"/>
      <c r="Q20" s="502"/>
      <c r="R20" s="471"/>
      <c r="S20" s="471"/>
      <c r="T20" s="471"/>
    </row>
    <row r="21" spans="1:20" s="470" customFormat="1" x14ac:dyDescent="0.2">
      <c r="A21" s="540" t="s">
        <v>352</v>
      </c>
      <c r="B21" s="495">
        <f t="shared" si="2"/>
        <v>41727644</v>
      </c>
      <c r="C21" s="496">
        <f t="shared" si="0"/>
        <v>0</v>
      </c>
      <c r="D21" s="498"/>
      <c r="E21" s="498"/>
      <c r="F21" s="499"/>
      <c r="G21" s="500"/>
      <c r="H21" s="500"/>
      <c r="I21" s="501">
        <f>41667644+60000</f>
        <v>41727644</v>
      </c>
      <c r="J21" s="181"/>
      <c r="K21" s="181"/>
      <c r="L21" s="501">
        <f t="shared" si="1"/>
        <v>0</v>
      </c>
      <c r="M21" s="86">
        <v>1176000</v>
      </c>
      <c r="O21" s="505"/>
      <c r="Q21" s="506"/>
    </row>
    <row r="22" spans="1:20" s="470" customFormat="1" x14ac:dyDescent="0.2">
      <c r="A22" s="540" t="s">
        <v>353</v>
      </c>
      <c r="B22" s="495">
        <f>C22+G22+H22+I22</f>
        <v>16108200</v>
      </c>
      <c r="C22" s="496">
        <f>D22+E22+F22</f>
        <v>0</v>
      </c>
      <c r="D22" s="507"/>
      <c r="E22" s="507"/>
      <c r="F22" s="508"/>
      <c r="G22" s="184"/>
      <c r="H22" s="184"/>
      <c r="I22" s="496">
        <v>16108200</v>
      </c>
      <c r="J22" s="184"/>
      <c r="K22" s="184"/>
      <c r="L22" s="496">
        <f>J22+K22</f>
        <v>0</v>
      </c>
      <c r="M22" s="125"/>
      <c r="N22" s="471"/>
    </row>
    <row r="23" spans="1:20" s="470" customFormat="1" x14ac:dyDescent="0.2">
      <c r="A23" s="540" t="s">
        <v>354</v>
      </c>
      <c r="B23" s="504">
        <f t="shared" si="2"/>
        <v>10245125</v>
      </c>
      <c r="C23" s="501">
        <f t="shared" si="0"/>
        <v>0</v>
      </c>
      <c r="D23" s="498"/>
      <c r="E23" s="498"/>
      <c r="F23" s="499"/>
      <c r="G23" s="498"/>
      <c r="H23" s="498"/>
      <c r="I23" s="501">
        <v>10245125</v>
      </c>
      <c r="J23" s="181"/>
      <c r="K23" s="181"/>
      <c r="L23" s="501">
        <f t="shared" si="1"/>
        <v>0</v>
      </c>
      <c r="M23" s="86"/>
    </row>
    <row r="24" spans="1:20" x14ac:dyDescent="0.2">
      <c r="A24" s="540" t="s">
        <v>355</v>
      </c>
      <c r="B24" s="504">
        <f t="shared" si="2"/>
        <v>398825</v>
      </c>
      <c r="C24" s="501">
        <f t="shared" si="0"/>
        <v>0</v>
      </c>
      <c r="D24" s="498"/>
      <c r="E24" s="498"/>
      <c r="F24" s="501"/>
      <c r="G24" s="181"/>
      <c r="H24" s="181"/>
      <c r="I24" s="501">
        <v>398825</v>
      </c>
      <c r="J24" s="181"/>
      <c r="K24" s="181"/>
      <c r="L24" s="501">
        <f t="shared" si="1"/>
        <v>0</v>
      </c>
      <c r="M24" s="86"/>
      <c r="N24" s="471"/>
      <c r="O24" s="471"/>
      <c r="P24" s="471"/>
      <c r="Q24" s="471"/>
      <c r="R24" s="471"/>
      <c r="S24" s="471"/>
      <c r="T24" s="471"/>
    </row>
    <row r="25" spans="1:20" x14ac:dyDescent="0.2">
      <c r="A25" s="540" t="s">
        <v>356</v>
      </c>
      <c r="B25" s="495">
        <f t="shared" si="2"/>
        <v>50000</v>
      </c>
      <c r="C25" s="496">
        <f t="shared" si="0"/>
        <v>0</v>
      </c>
      <c r="D25" s="507"/>
      <c r="E25" s="507"/>
      <c r="F25" s="496"/>
      <c r="G25" s="184"/>
      <c r="H25" s="184"/>
      <c r="I25" s="496">
        <v>50000</v>
      </c>
      <c r="J25" s="184"/>
      <c r="K25" s="184"/>
      <c r="L25" s="496">
        <f t="shared" si="1"/>
        <v>0</v>
      </c>
      <c r="M25" s="125"/>
      <c r="N25" s="471"/>
      <c r="O25" s="471"/>
      <c r="P25" s="471"/>
      <c r="Q25" s="471"/>
      <c r="R25" s="471"/>
      <c r="S25" s="471"/>
      <c r="T25" s="471"/>
    </row>
    <row r="26" spans="1:20" x14ac:dyDescent="0.2">
      <c r="A26" s="540" t="s">
        <v>357</v>
      </c>
      <c r="B26" s="495">
        <f t="shared" si="2"/>
        <v>12000</v>
      </c>
      <c r="C26" s="496">
        <f t="shared" si="0"/>
        <v>0</v>
      </c>
      <c r="D26" s="507"/>
      <c r="E26" s="507"/>
      <c r="F26" s="496"/>
      <c r="G26" s="184"/>
      <c r="H26" s="184"/>
      <c r="I26" s="496">
        <v>12000</v>
      </c>
      <c r="J26" s="184"/>
      <c r="K26" s="184"/>
      <c r="L26" s="496">
        <f t="shared" si="1"/>
        <v>0</v>
      </c>
      <c r="M26" s="125"/>
      <c r="N26" s="471"/>
      <c r="O26" s="471"/>
      <c r="P26" s="471"/>
      <c r="Q26" s="471"/>
      <c r="R26" s="471"/>
      <c r="S26" s="471"/>
      <c r="T26" s="471"/>
    </row>
    <row r="27" spans="1:20" x14ac:dyDescent="0.2">
      <c r="A27" s="544" t="s">
        <v>358</v>
      </c>
      <c r="B27" s="495">
        <f t="shared" si="2"/>
        <v>640000</v>
      </c>
      <c r="C27" s="496">
        <f t="shared" si="0"/>
        <v>0</v>
      </c>
      <c r="D27" s="507"/>
      <c r="E27" s="507"/>
      <c r="F27" s="496"/>
      <c r="G27" s="184"/>
      <c r="H27" s="184"/>
      <c r="I27" s="496">
        <v>640000</v>
      </c>
      <c r="J27" s="184"/>
      <c r="K27" s="184"/>
      <c r="L27" s="496">
        <f t="shared" si="1"/>
        <v>0</v>
      </c>
      <c r="M27" s="125">
        <v>177000</v>
      </c>
      <c r="N27" s="471"/>
      <c r="O27" s="471"/>
      <c r="P27" s="471"/>
      <c r="Q27" s="471"/>
      <c r="R27" s="471"/>
      <c r="S27" s="471"/>
      <c r="T27" s="471"/>
    </row>
    <row r="28" spans="1:20" x14ac:dyDescent="0.2">
      <c r="A28" s="540" t="s">
        <v>359</v>
      </c>
      <c r="B28" s="509">
        <f t="shared" si="2"/>
        <v>0</v>
      </c>
      <c r="C28" s="510">
        <f t="shared" si="0"/>
        <v>0</v>
      </c>
      <c r="D28" s="511"/>
      <c r="E28" s="511"/>
      <c r="F28" s="510"/>
      <c r="G28" s="511"/>
      <c r="H28" s="511"/>
      <c r="I28" s="508"/>
      <c r="J28" s="512"/>
      <c r="K28" s="512"/>
      <c r="L28" s="510">
        <f t="shared" si="1"/>
        <v>0</v>
      </c>
      <c r="M28" s="545">
        <v>88000000</v>
      </c>
      <c r="N28" s="471"/>
      <c r="O28" s="513"/>
      <c r="P28" s="471"/>
      <c r="Q28" s="471"/>
      <c r="R28" s="471"/>
      <c r="S28" s="471"/>
      <c r="T28" s="471"/>
    </row>
    <row r="29" spans="1:20" x14ac:dyDescent="0.2">
      <c r="A29" s="546" t="s">
        <v>360</v>
      </c>
      <c r="B29" s="495">
        <f t="shared" si="2"/>
        <v>0</v>
      </c>
      <c r="C29" s="496">
        <f t="shared" si="0"/>
        <v>0</v>
      </c>
      <c r="D29" s="507"/>
      <c r="E29" s="507"/>
      <c r="F29" s="507"/>
      <c r="G29" s="507"/>
      <c r="H29" s="507"/>
      <c r="I29" s="508"/>
      <c r="J29" s="184"/>
      <c r="K29" s="184"/>
      <c r="L29" s="496">
        <f t="shared" si="1"/>
        <v>0</v>
      </c>
      <c r="M29" s="125">
        <v>223000</v>
      </c>
      <c r="N29" s="471"/>
      <c r="O29" s="471"/>
      <c r="P29" s="471"/>
      <c r="Q29" s="471"/>
      <c r="R29" s="471"/>
      <c r="S29" s="471"/>
      <c r="T29" s="471"/>
    </row>
    <row r="30" spans="1:20" ht="15" x14ac:dyDescent="0.25">
      <c r="A30" s="547"/>
      <c r="B30" s="495">
        <f t="shared" si="2"/>
        <v>0</v>
      </c>
      <c r="C30" s="496">
        <f t="shared" si="0"/>
        <v>0</v>
      </c>
      <c r="D30" s="507"/>
      <c r="E30" s="507"/>
      <c r="F30" s="507"/>
      <c r="G30" s="507"/>
      <c r="H30" s="507"/>
      <c r="I30" s="508"/>
      <c r="J30" s="184"/>
      <c r="K30" s="184"/>
      <c r="L30" s="496">
        <f t="shared" si="1"/>
        <v>0</v>
      </c>
      <c r="M30" s="125"/>
      <c r="N30" s="471"/>
      <c r="O30" s="471"/>
      <c r="P30" s="471"/>
      <c r="Q30" s="471"/>
      <c r="R30" s="471"/>
      <c r="S30" s="471"/>
      <c r="T30" s="471"/>
    </row>
    <row r="31" spans="1:20" ht="13.5" thickBot="1" x14ac:dyDescent="0.25">
      <c r="A31" s="548" t="s">
        <v>361</v>
      </c>
      <c r="B31" s="514">
        <f t="shared" si="2"/>
        <v>389983828</v>
      </c>
      <c r="C31" s="515">
        <f t="shared" si="0"/>
        <v>236231595</v>
      </c>
      <c r="D31" s="195">
        <f t="shared" ref="D31:M31" si="3">SUM(D11+D12+D13+D14+D21+D23+D22+D24+D25+D26+D27+D28+D29+D30)</f>
        <v>24600000</v>
      </c>
      <c r="E31" s="195">
        <f t="shared" si="3"/>
        <v>193252515</v>
      </c>
      <c r="F31" s="195">
        <f t="shared" si="3"/>
        <v>18379080</v>
      </c>
      <c r="G31" s="195">
        <f t="shared" si="3"/>
        <v>78279543</v>
      </c>
      <c r="H31" s="195">
        <f t="shared" si="3"/>
        <v>3269896</v>
      </c>
      <c r="I31" s="515">
        <f t="shared" si="3"/>
        <v>72202794</v>
      </c>
      <c r="J31" s="195">
        <f t="shared" si="3"/>
        <v>50</v>
      </c>
      <c r="K31" s="195">
        <f t="shared" si="3"/>
        <v>418</v>
      </c>
      <c r="L31" s="515">
        <f t="shared" si="3"/>
        <v>468</v>
      </c>
      <c r="M31" s="114">
        <f t="shared" si="3"/>
        <v>89576000</v>
      </c>
      <c r="N31" s="471"/>
      <c r="O31" s="471"/>
      <c r="P31" s="471"/>
      <c r="Q31" s="471"/>
      <c r="R31" s="471"/>
      <c r="S31" s="471"/>
      <c r="T31" s="471"/>
    </row>
    <row r="32" spans="1:20" x14ac:dyDescent="0.2">
      <c r="A32" s="549" t="s">
        <v>362</v>
      </c>
      <c r="B32" s="516">
        <f t="shared" si="2"/>
        <v>295993474</v>
      </c>
      <c r="C32" s="517">
        <f t="shared" si="0"/>
        <v>188029321</v>
      </c>
      <c r="D32" s="518">
        <v>11774000</v>
      </c>
      <c r="E32" s="518">
        <v>169639157</v>
      </c>
      <c r="F32" s="517">
        <v>6616164</v>
      </c>
      <c r="G32" s="519">
        <v>63929969</v>
      </c>
      <c r="H32" s="519">
        <v>2721198</v>
      </c>
      <c r="I32" s="517">
        <f>40202986+(2931198-2721198)+900000</f>
        <v>41312986</v>
      </c>
      <c r="J32" s="518">
        <v>48</v>
      </c>
      <c r="K32" s="518">
        <v>456</v>
      </c>
      <c r="L32" s="517">
        <f>J32+K32</f>
        <v>504</v>
      </c>
      <c r="M32" s="550">
        <v>310000</v>
      </c>
      <c r="N32" s="471"/>
      <c r="O32" s="513"/>
      <c r="P32" s="471"/>
      <c r="Q32" s="471"/>
      <c r="R32" s="471"/>
      <c r="S32" s="471"/>
      <c r="T32" s="471"/>
    </row>
    <row r="33" spans="1:20" ht="13.5" thickBot="1" x14ac:dyDescent="0.25">
      <c r="A33" s="548" t="s">
        <v>363</v>
      </c>
      <c r="B33" s="514">
        <f t="shared" si="2"/>
        <v>11292956</v>
      </c>
      <c r="C33" s="515">
        <f t="shared" si="0"/>
        <v>5369000</v>
      </c>
      <c r="D33" s="195"/>
      <c r="E33" s="195">
        <v>3033000</v>
      </c>
      <c r="F33" s="515">
        <v>2336000</v>
      </c>
      <c r="G33" s="520">
        <v>1825460</v>
      </c>
      <c r="H33" s="520">
        <v>45495</v>
      </c>
      <c r="I33" s="515">
        <f>4053001</f>
        <v>4053001</v>
      </c>
      <c r="J33" s="195"/>
      <c r="K33" s="195">
        <v>6</v>
      </c>
      <c r="L33" s="515">
        <f>J33+K33</f>
        <v>6</v>
      </c>
      <c r="M33" s="114"/>
      <c r="N33" s="471"/>
      <c r="O33" s="513"/>
      <c r="P33" s="471"/>
      <c r="Q33" s="471"/>
      <c r="R33" s="471"/>
      <c r="S33" s="471"/>
      <c r="T33" s="471"/>
    </row>
    <row r="34" spans="1:20" ht="13.5" thickBot="1" x14ac:dyDescent="0.25">
      <c r="A34" s="551"/>
      <c r="B34" s="521"/>
      <c r="C34" s="212"/>
      <c r="D34" s="522"/>
      <c r="E34" s="522"/>
      <c r="F34" s="523"/>
      <c r="G34" s="522"/>
      <c r="H34" s="522"/>
      <c r="I34" s="523"/>
      <c r="J34" s="522"/>
      <c r="K34" s="522"/>
      <c r="L34" s="523"/>
      <c r="M34" s="552"/>
      <c r="N34" s="471"/>
      <c r="O34" s="471"/>
      <c r="P34" s="471"/>
      <c r="Q34" s="471"/>
      <c r="R34" s="471"/>
      <c r="S34" s="471"/>
      <c r="T34" s="471"/>
    </row>
    <row r="35" spans="1:20" ht="13.5" thickBot="1" x14ac:dyDescent="0.25">
      <c r="A35" s="553" t="s">
        <v>364</v>
      </c>
      <c r="B35" s="651">
        <f>C35+G35+H35+I35</f>
        <v>697270258</v>
      </c>
      <c r="C35" s="652">
        <f t="shared" ref="C35:C41" si="4">D35+E35+F35</f>
        <v>429629916</v>
      </c>
      <c r="D35" s="653">
        <f t="shared" ref="D35:M35" si="5">D32+D31+D33</f>
        <v>36374000</v>
      </c>
      <c r="E35" s="653">
        <f t="shared" si="5"/>
        <v>365924672</v>
      </c>
      <c r="F35" s="652">
        <f t="shared" si="5"/>
        <v>27331244</v>
      </c>
      <c r="G35" s="653">
        <f t="shared" si="5"/>
        <v>144034972</v>
      </c>
      <c r="H35" s="653">
        <f>H32+H31+H33</f>
        <v>6036589</v>
      </c>
      <c r="I35" s="652">
        <f t="shared" si="5"/>
        <v>117568781</v>
      </c>
      <c r="J35" s="653">
        <f t="shared" si="5"/>
        <v>98</v>
      </c>
      <c r="K35" s="653">
        <f t="shared" si="5"/>
        <v>880</v>
      </c>
      <c r="L35" s="652">
        <f t="shared" si="5"/>
        <v>978</v>
      </c>
      <c r="M35" s="654">
        <f t="shared" si="5"/>
        <v>89886000</v>
      </c>
      <c r="N35" s="471"/>
      <c r="O35" s="471"/>
      <c r="P35" s="471"/>
      <c r="Q35" s="524"/>
      <c r="R35" s="471"/>
      <c r="S35" s="471"/>
      <c r="T35" s="471"/>
    </row>
    <row r="36" spans="1:20" ht="15" x14ac:dyDescent="0.25">
      <c r="A36" s="554" t="s">
        <v>365</v>
      </c>
      <c r="B36" s="495">
        <f t="shared" ref="B36:B41" si="6">C36+G36+H36+I36</f>
        <v>7170399</v>
      </c>
      <c r="C36" s="496">
        <f t="shared" si="4"/>
        <v>5164423</v>
      </c>
      <c r="D36" s="184">
        <v>570000</v>
      </c>
      <c r="E36" s="184">
        <v>2986778</v>
      </c>
      <c r="F36" s="184">
        <v>1607645</v>
      </c>
      <c r="G36" s="184">
        <v>1952696</v>
      </c>
      <c r="H36" s="525">
        <v>53280</v>
      </c>
      <c r="I36" s="496"/>
      <c r="J36" s="184"/>
      <c r="K36" s="184"/>
      <c r="L36" s="496">
        <f>J36+K36</f>
        <v>0</v>
      </c>
      <c r="M36" s="125"/>
      <c r="N36" s="471"/>
      <c r="O36" s="471"/>
      <c r="P36" s="471"/>
      <c r="Q36" s="497"/>
      <c r="R36" s="471"/>
      <c r="S36" s="471"/>
      <c r="T36" s="471"/>
    </row>
    <row r="37" spans="1:20" ht="15" x14ac:dyDescent="0.25">
      <c r="A37" s="555"/>
      <c r="B37" s="495">
        <f t="shared" si="6"/>
        <v>0</v>
      </c>
      <c r="C37" s="496">
        <f t="shared" si="4"/>
        <v>0</v>
      </c>
      <c r="D37" s="184"/>
      <c r="E37" s="184"/>
      <c r="F37" s="184"/>
      <c r="G37" s="184"/>
      <c r="H37" s="184"/>
      <c r="I37" s="496"/>
      <c r="J37" s="184"/>
      <c r="K37" s="184"/>
      <c r="L37" s="496">
        <f>J37+K37</f>
        <v>0</v>
      </c>
      <c r="M37" s="125"/>
      <c r="N37" s="471"/>
      <c r="O37" s="513"/>
      <c r="P37" s="471"/>
      <c r="Q37" s="497"/>
      <c r="R37" s="471"/>
      <c r="S37" s="471"/>
      <c r="T37" s="471"/>
    </row>
    <row r="38" spans="1:20" x14ac:dyDescent="0.2">
      <c r="A38" s="556" t="s">
        <v>366</v>
      </c>
      <c r="B38" s="495">
        <f t="shared" si="6"/>
        <v>15480868</v>
      </c>
      <c r="C38" s="496">
        <f t="shared" si="4"/>
        <v>0</v>
      </c>
      <c r="D38" s="184"/>
      <c r="E38" s="184"/>
      <c r="F38" s="496"/>
      <c r="G38" s="127"/>
      <c r="H38" s="127"/>
      <c r="I38" s="496">
        <f>15480868</f>
        <v>15480868</v>
      </c>
      <c r="J38" s="184"/>
      <c r="K38" s="184"/>
      <c r="L38" s="496">
        <f>J38+K38</f>
        <v>0</v>
      </c>
      <c r="M38" s="125"/>
      <c r="N38" s="471"/>
      <c r="O38" s="471"/>
      <c r="P38" s="471"/>
      <c r="Q38" s="524"/>
      <c r="R38" s="471"/>
      <c r="S38" s="471"/>
      <c r="T38" s="471"/>
    </row>
    <row r="39" spans="1:20" ht="13.5" thickBot="1" x14ac:dyDescent="0.25">
      <c r="A39" s="557" t="s">
        <v>367</v>
      </c>
      <c r="B39" s="655">
        <f t="shared" si="6"/>
        <v>22651267</v>
      </c>
      <c r="C39" s="656">
        <f t="shared" si="4"/>
        <v>5164423</v>
      </c>
      <c r="D39" s="141">
        <f t="shared" ref="D39:M39" si="7">SUM(D36:D38)</f>
        <v>570000</v>
      </c>
      <c r="E39" s="141">
        <f t="shared" si="7"/>
        <v>2986778</v>
      </c>
      <c r="F39" s="142">
        <f t="shared" si="7"/>
        <v>1607645</v>
      </c>
      <c r="G39" s="141">
        <f t="shared" si="7"/>
        <v>1952696</v>
      </c>
      <c r="H39" s="141">
        <f t="shared" si="7"/>
        <v>53280</v>
      </c>
      <c r="I39" s="142">
        <f t="shared" si="7"/>
        <v>15480868</v>
      </c>
      <c r="J39" s="141">
        <f t="shared" si="7"/>
        <v>0</v>
      </c>
      <c r="K39" s="141">
        <f t="shared" si="7"/>
        <v>0</v>
      </c>
      <c r="L39" s="142">
        <f t="shared" si="7"/>
        <v>0</v>
      </c>
      <c r="M39" s="89">
        <f t="shared" si="7"/>
        <v>0</v>
      </c>
      <c r="N39" s="470"/>
      <c r="O39" s="471"/>
      <c r="P39" s="471"/>
      <c r="Q39" s="524"/>
      <c r="R39" s="471"/>
      <c r="S39" s="471"/>
      <c r="T39" s="471"/>
    </row>
    <row r="40" spans="1:20" ht="14.25" thickTop="1" thickBot="1" x14ac:dyDescent="0.25">
      <c r="A40" s="558" t="s">
        <v>368</v>
      </c>
      <c r="B40" s="657">
        <f t="shared" si="6"/>
        <v>719921524.79999995</v>
      </c>
      <c r="C40" s="658">
        <f t="shared" si="4"/>
        <v>434794339</v>
      </c>
      <c r="D40" s="659">
        <f>D39+D35</f>
        <v>36944000</v>
      </c>
      <c r="E40" s="659">
        <f>E39+E35</f>
        <v>368911450</v>
      </c>
      <c r="F40" s="660">
        <f>F39+F35</f>
        <v>28938889</v>
      </c>
      <c r="G40" s="659">
        <f>G39+G35-0.1</f>
        <v>145987667.90000001</v>
      </c>
      <c r="H40" s="659">
        <f>H39+H35-0.1</f>
        <v>6089868.9000000004</v>
      </c>
      <c r="I40" s="660">
        <f>I39+I35</f>
        <v>133049649</v>
      </c>
      <c r="J40" s="659">
        <f>J39+J35</f>
        <v>98</v>
      </c>
      <c r="K40" s="659">
        <f>K39+K35</f>
        <v>880</v>
      </c>
      <c r="L40" s="660">
        <f>L39+L35</f>
        <v>978</v>
      </c>
      <c r="M40" s="159">
        <f>M39+M35</f>
        <v>89886000</v>
      </c>
      <c r="N40" s="470"/>
    </row>
    <row r="41" spans="1:20" ht="15.75" x14ac:dyDescent="0.25">
      <c r="A41" s="559" t="s">
        <v>369</v>
      </c>
      <c r="B41" s="661">
        <f t="shared" si="6"/>
        <v>719921525</v>
      </c>
      <c r="C41" s="662">
        <f t="shared" si="4"/>
        <v>434794339</v>
      </c>
      <c r="D41" s="663">
        <v>36944000</v>
      </c>
      <c r="E41" s="663">
        <v>368911450</v>
      </c>
      <c r="F41" s="662">
        <v>28938889</v>
      </c>
      <c r="G41" s="663">
        <v>145987668</v>
      </c>
      <c r="H41" s="663">
        <v>6089869</v>
      </c>
      <c r="I41" s="662">
        <f>133049649</f>
        <v>133049649</v>
      </c>
      <c r="J41" s="663">
        <v>98</v>
      </c>
      <c r="K41" s="663">
        <v>880</v>
      </c>
      <c r="L41" s="662">
        <v>978</v>
      </c>
      <c r="M41" s="664">
        <v>89886000</v>
      </c>
      <c r="N41" s="470"/>
      <c r="O41" s="471"/>
      <c r="P41" s="471"/>
      <c r="Q41" s="524"/>
      <c r="R41" s="471"/>
      <c r="S41" s="471"/>
      <c r="T41" s="471"/>
    </row>
    <row r="42" spans="1:20" x14ac:dyDescent="0.2">
      <c r="B42" s="526"/>
      <c r="C42" s="526"/>
      <c r="D42" s="526"/>
      <c r="E42" s="526"/>
      <c r="F42" s="526"/>
      <c r="G42" s="526"/>
      <c r="H42" s="526"/>
      <c r="I42" s="526"/>
      <c r="J42" s="526"/>
      <c r="K42" s="526"/>
      <c r="L42" s="526"/>
      <c r="M42" s="526"/>
    </row>
    <row r="43" spans="1:20" x14ac:dyDescent="0.2">
      <c r="E43" s="526"/>
      <c r="I43" s="526"/>
      <c r="J43" s="526"/>
      <c r="K43" s="526"/>
    </row>
    <row r="44" spans="1:20" x14ac:dyDescent="0.2">
      <c r="A44" s="473"/>
      <c r="B44" s="473"/>
      <c r="C44" s="473"/>
      <c r="D44" s="473"/>
      <c r="E44" s="473"/>
      <c r="F44" s="473"/>
      <c r="G44" s="473"/>
      <c r="H44" s="473"/>
      <c r="I44" s="527"/>
      <c r="J44" s="473"/>
      <c r="K44" s="473"/>
      <c r="L44" s="473"/>
      <c r="M44" s="473"/>
      <c r="N44" s="473"/>
    </row>
    <row r="45" spans="1:20" x14ac:dyDescent="0.2">
      <c r="I45" s="526"/>
    </row>
  </sheetData>
  <printOptions horizontalCentered="1"/>
  <pageMargins left="0.70866141732283472" right="0.70866141732283472" top="0.78740157480314965" bottom="0.78740157480314965" header="0.51181102362204722" footer="0.31496062992125984"/>
  <pageSetup paperSize="9" scale="64" orientation="landscape" r:id="rId1"/>
  <headerFooter alignWithMargins="0">
    <oddHeader>&amp;RKapitola C.VI
&amp;"-,Tučné"Tabulka č. 2a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L24" sqref="L24"/>
    </sheetView>
  </sheetViews>
  <sheetFormatPr defaultRowHeight="15" x14ac:dyDescent="0.25"/>
  <cols>
    <col min="1" max="1" width="85.42578125" customWidth="1"/>
    <col min="2" max="2" width="15.7109375" customWidth="1"/>
    <col min="3" max="3" width="14" customWidth="1"/>
    <col min="4" max="4" width="13" customWidth="1"/>
    <col min="5" max="5" width="11.7109375" customWidth="1"/>
    <col min="6" max="6" width="12.85546875" customWidth="1"/>
    <col min="7" max="7" width="12.42578125" customWidth="1"/>
    <col min="8" max="8" width="14.85546875" customWidth="1"/>
    <col min="257" max="257" width="85.42578125" customWidth="1"/>
    <col min="258" max="258" width="15.7109375" customWidth="1"/>
    <col min="259" max="259" width="14" customWidth="1"/>
    <col min="260" max="260" width="13" customWidth="1"/>
    <col min="261" max="261" width="11.7109375" customWidth="1"/>
    <col min="262" max="262" width="12.85546875" customWidth="1"/>
    <col min="263" max="263" width="12.42578125" customWidth="1"/>
    <col min="264" max="264" width="14.85546875" customWidth="1"/>
    <col min="513" max="513" width="85.42578125" customWidth="1"/>
    <col min="514" max="514" width="15.7109375" customWidth="1"/>
    <col min="515" max="515" width="14" customWidth="1"/>
    <col min="516" max="516" width="13" customWidth="1"/>
    <col min="517" max="517" width="11.7109375" customWidth="1"/>
    <col min="518" max="518" width="12.85546875" customWidth="1"/>
    <col min="519" max="519" width="12.42578125" customWidth="1"/>
    <col min="520" max="520" width="14.85546875" customWidth="1"/>
    <col min="769" max="769" width="85.42578125" customWidth="1"/>
    <col min="770" max="770" width="15.7109375" customWidth="1"/>
    <col min="771" max="771" width="14" customWidth="1"/>
    <col min="772" max="772" width="13" customWidth="1"/>
    <col min="773" max="773" width="11.7109375" customWidth="1"/>
    <col min="774" max="774" width="12.85546875" customWidth="1"/>
    <col min="775" max="775" width="12.42578125" customWidth="1"/>
    <col min="776" max="776" width="14.85546875" customWidth="1"/>
    <col min="1025" max="1025" width="85.42578125" customWidth="1"/>
    <col min="1026" max="1026" width="15.7109375" customWidth="1"/>
    <col min="1027" max="1027" width="14" customWidth="1"/>
    <col min="1028" max="1028" width="13" customWidth="1"/>
    <col min="1029" max="1029" width="11.7109375" customWidth="1"/>
    <col min="1030" max="1030" width="12.85546875" customWidth="1"/>
    <col min="1031" max="1031" width="12.42578125" customWidth="1"/>
    <col min="1032" max="1032" width="14.85546875" customWidth="1"/>
    <col min="1281" max="1281" width="85.42578125" customWidth="1"/>
    <col min="1282" max="1282" width="15.7109375" customWidth="1"/>
    <col min="1283" max="1283" width="14" customWidth="1"/>
    <col min="1284" max="1284" width="13" customWidth="1"/>
    <col min="1285" max="1285" width="11.7109375" customWidth="1"/>
    <col min="1286" max="1286" width="12.85546875" customWidth="1"/>
    <col min="1287" max="1287" width="12.42578125" customWidth="1"/>
    <col min="1288" max="1288" width="14.85546875" customWidth="1"/>
    <col min="1537" max="1537" width="85.42578125" customWidth="1"/>
    <col min="1538" max="1538" width="15.7109375" customWidth="1"/>
    <col min="1539" max="1539" width="14" customWidth="1"/>
    <col min="1540" max="1540" width="13" customWidth="1"/>
    <col min="1541" max="1541" width="11.7109375" customWidth="1"/>
    <col min="1542" max="1542" width="12.85546875" customWidth="1"/>
    <col min="1543" max="1543" width="12.42578125" customWidth="1"/>
    <col min="1544" max="1544" width="14.85546875" customWidth="1"/>
    <col min="1793" max="1793" width="85.42578125" customWidth="1"/>
    <col min="1794" max="1794" width="15.7109375" customWidth="1"/>
    <col min="1795" max="1795" width="14" customWidth="1"/>
    <col min="1796" max="1796" width="13" customWidth="1"/>
    <col min="1797" max="1797" width="11.7109375" customWidth="1"/>
    <col min="1798" max="1798" width="12.85546875" customWidth="1"/>
    <col min="1799" max="1799" width="12.42578125" customWidth="1"/>
    <col min="1800" max="1800" width="14.85546875" customWidth="1"/>
    <col min="2049" max="2049" width="85.42578125" customWidth="1"/>
    <col min="2050" max="2050" width="15.7109375" customWidth="1"/>
    <col min="2051" max="2051" width="14" customWidth="1"/>
    <col min="2052" max="2052" width="13" customWidth="1"/>
    <col min="2053" max="2053" width="11.7109375" customWidth="1"/>
    <col min="2054" max="2054" width="12.85546875" customWidth="1"/>
    <col min="2055" max="2055" width="12.42578125" customWidth="1"/>
    <col min="2056" max="2056" width="14.85546875" customWidth="1"/>
    <col min="2305" max="2305" width="85.42578125" customWidth="1"/>
    <col min="2306" max="2306" width="15.7109375" customWidth="1"/>
    <col min="2307" max="2307" width="14" customWidth="1"/>
    <col min="2308" max="2308" width="13" customWidth="1"/>
    <col min="2309" max="2309" width="11.7109375" customWidth="1"/>
    <col min="2310" max="2310" width="12.85546875" customWidth="1"/>
    <col min="2311" max="2311" width="12.42578125" customWidth="1"/>
    <col min="2312" max="2312" width="14.85546875" customWidth="1"/>
    <col min="2561" max="2561" width="85.42578125" customWidth="1"/>
    <col min="2562" max="2562" width="15.7109375" customWidth="1"/>
    <col min="2563" max="2563" width="14" customWidth="1"/>
    <col min="2564" max="2564" width="13" customWidth="1"/>
    <col min="2565" max="2565" width="11.7109375" customWidth="1"/>
    <col min="2566" max="2566" width="12.85546875" customWidth="1"/>
    <col min="2567" max="2567" width="12.42578125" customWidth="1"/>
    <col min="2568" max="2568" width="14.85546875" customWidth="1"/>
    <col min="2817" max="2817" width="85.42578125" customWidth="1"/>
    <col min="2818" max="2818" width="15.7109375" customWidth="1"/>
    <col min="2819" max="2819" width="14" customWidth="1"/>
    <col min="2820" max="2820" width="13" customWidth="1"/>
    <col min="2821" max="2821" width="11.7109375" customWidth="1"/>
    <col min="2822" max="2822" width="12.85546875" customWidth="1"/>
    <col min="2823" max="2823" width="12.42578125" customWidth="1"/>
    <col min="2824" max="2824" width="14.85546875" customWidth="1"/>
    <col min="3073" max="3073" width="85.42578125" customWidth="1"/>
    <col min="3074" max="3074" width="15.7109375" customWidth="1"/>
    <col min="3075" max="3075" width="14" customWidth="1"/>
    <col min="3076" max="3076" width="13" customWidth="1"/>
    <col min="3077" max="3077" width="11.7109375" customWidth="1"/>
    <col min="3078" max="3078" width="12.85546875" customWidth="1"/>
    <col min="3079" max="3079" width="12.42578125" customWidth="1"/>
    <col min="3080" max="3080" width="14.85546875" customWidth="1"/>
    <col min="3329" max="3329" width="85.42578125" customWidth="1"/>
    <col min="3330" max="3330" width="15.7109375" customWidth="1"/>
    <col min="3331" max="3331" width="14" customWidth="1"/>
    <col min="3332" max="3332" width="13" customWidth="1"/>
    <col min="3333" max="3333" width="11.7109375" customWidth="1"/>
    <col min="3334" max="3334" width="12.85546875" customWidth="1"/>
    <col min="3335" max="3335" width="12.42578125" customWidth="1"/>
    <col min="3336" max="3336" width="14.85546875" customWidth="1"/>
    <col min="3585" max="3585" width="85.42578125" customWidth="1"/>
    <col min="3586" max="3586" width="15.7109375" customWidth="1"/>
    <col min="3587" max="3587" width="14" customWidth="1"/>
    <col min="3588" max="3588" width="13" customWidth="1"/>
    <col min="3589" max="3589" width="11.7109375" customWidth="1"/>
    <col min="3590" max="3590" width="12.85546875" customWidth="1"/>
    <col min="3591" max="3591" width="12.42578125" customWidth="1"/>
    <col min="3592" max="3592" width="14.85546875" customWidth="1"/>
    <col min="3841" max="3841" width="85.42578125" customWidth="1"/>
    <col min="3842" max="3842" width="15.7109375" customWidth="1"/>
    <col min="3843" max="3843" width="14" customWidth="1"/>
    <col min="3844" max="3844" width="13" customWidth="1"/>
    <col min="3845" max="3845" width="11.7109375" customWidth="1"/>
    <col min="3846" max="3846" width="12.85546875" customWidth="1"/>
    <col min="3847" max="3847" width="12.42578125" customWidth="1"/>
    <col min="3848" max="3848" width="14.85546875" customWidth="1"/>
    <col min="4097" max="4097" width="85.42578125" customWidth="1"/>
    <col min="4098" max="4098" width="15.7109375" customWidth="1"/>
    <col min="4099" max="4099" width="14" customWidth="1"/>
    <col min="4100" max="4100" width="13" customWidth="1"/>
    <col min="4101" max="4101" width="11.7109375" customWidth="1"/>
    <col min="4102" max="4102" width="12.85546875" customWidth="1"/>
    <col min="4103" max="4103" width="12.42578125" customWidth="1"/>
    <col min="4104" max="4104" width="14.85546875" customWidth="1"/>
    <col min="4353" max="4353" width="85.42578125" customWidth="1"/>
    <col min="4354" max="4354" width="15.7109375" customWidth="1"/>
    <col min="4355" max="4355" width="14" customWidth="1"/>
    <col min="4356" max="4356" width="13" customWidth="1"/>
    <col min="4357" max="4357" width="11.7109375" customWidth="1"/>
    <col min="4358" max="4358" width="12.85546875" customWidth="1"/>
    <col min="4359" max="4359" width="12.42578125" customWidth="1"/>
    <col min="4360" max="4360" width="14.85546875" customWidth="1"/>
    <col min="4609" max="4609" width="85.42578125" customWidth="1"/>
    <col min="4610" max="4610" width="15.7109375" customWidth="1"/>
    <col min="4611" max="4611" width="14" customWidth="1"/>
    <col min="4612" max="4612" width="13" customWidth="1"/>
    <col min="4613" max="4613" width="11.7109375" customWidth="1"/>
    <col min="4614" max="4614" width="12.85546875" customWidth="1"/>
    <col min="4615" max="4615" width="12.42578125" customWidth="1"/>
    <col min="4616" max="4616" width="14.85546875" customWidth="1"/>
    <col min="4865" max="4865" width="85.42578125" customWidth="1"/>
    <col min="4866" max="4866" width="15.7109375" customWidth="1"/>
    <col min="4867" max="4867" width="14" customWidth="1"/>
    <col min="4868" max="4868" width="13" customWidth="1"/>
    <col min="4869" max="4869" width="11.7109375" customWidth="1"/>
    <col min="4870" max="4870" width="12.85546875" customWidth="1"/>
    <col min="4871" max="4871" width="12.42578125" customWidth="1"/>
    <col min="4872" max="4872" width="14.85546875" customWidth="1"/>
    <col min="5121" max="5121" width="85.42578125" customWidth="1"/>
    <col min="5122" max="5122" width="15.7109375" customWidth="1"/>
    <col min="5123" max="5123" width="14" customWidth="1"/>
    <col min="5124" max="5124" width="13" customWidth="1"/>
    <col min="5125" max="5125" width="11.7109375" customWidth="1"/>
    <col min="5126" max="5126" width="12.85546875" customWidth="1"/>
    <col min="5127" max="5127" width="12.42578125" customWidth="1"/>
    <col min="5128" max="5128" width="14.85546875" customWidth="1"/>
    <col min="5377" max="5377" width="85.42578125" customWidth="1"/>
    <col min="5378" max="5378" width="15.7109375" customWidth="1"/>
    <col min="5379" max="5379" width="14" customWidth="1"/>
    <col min="5380" max="5380" width="13" customWidth="1"/>
    <col min="5381" max="5381" width="11.7109375" customWidth="1"/>
    <col min="5382" max="5382" width="12.85546875" customWidth="1"/>
    <col min="5383" max="5383" width="12.42578125" customWidth="1"/>
    <col min="5384" max="5384" width="14.85546875" customWidth="1"/>
    <col min="5633" max="5633" width="85.42578125" customWidth="1"/>
    <col min="5634" max="5634" width="15.7109375" customWidth="1"/>
    <col min="5635" max="5635" width="14" customWidth="1"/>
    <col min="5636" max="5636" width="13" customWidth="1"/>
    <col min="5637" max="5637" width="11.7109375" customWidth="1"/>
    <col min="5638" max="5638" width="12.85546875" customWidth="1"/>
    <col min="5639" max="5639" width="12.42578125" customWidth="1"/>
    <col min="5640" max="5640" width="14.85546875" customWidth="1"/>
    <col min="5889" max="5889" width="85.42578125" customWidth="1"/>
    <col min="5890" max="5890" width="15.7109375" customWidth="1"/>
    <col min="5891" max="5891" width="14" customWidth="1"/>
    <col min="5892" max="5892" width="13" customWidth="1"/>
    <col min="5893" max="5893" width="11.7109375" customWidth="1"/>
    <col min="5894" max="5894" width="12.85546875" customWidth="1"/>
    <col min="5895" max="5895" width="12.42578125" customWidth="1"/>
    <col min="5896" max="5896" width="14.85546875" customWidth="1"/>
    <col min="6145" max="6145" width="85.42578125" customWidth="1"/>
    <col min="6146" max="6146" width="15.7109375" customWidth="1"/>
    <col min="6147" max="6147" width="14" customWidth="1"/>
    <col min="6148" max="6148" width="13" customWidth="1"/>
    <col min="6149" max="6149" width="11.7109375" customWidth="1"/>
    <col min="6150" max="6150" width="12.85546875" customWidth="1"/>
    <col min="6151" max="6151" width="12.42578125" customWidth="1"/>
    <col min="6152" max="6152" width="14.85546875" customWidth="1"/>
    <col min="6401" max="6401" width="85.42578125" customWidth="1"/>
    <col min="6402" max="6402" width="15.7109375" customWidth="1"/>
    <col min="6403" max="6403" width="14" customWidth="1"/>
    <col min="6404" max="6404" width="13" customWidth="1"/>
    <col min="6405" max="6405" width="11.7109375" customWidth="1"/>
    <col min="6406" max="6406" width="12.85546875" customWidth="1"/>
    <col min="6407" max="6407" width="12.42578125" customWidth="1"/>
    <col min="6408" max="6408" width="14.85546875" customWidth="1"/>
    <col min="6657" max="6657" width="85.42578125" customWidth="1"/>
    <col min="6658" max="6658" width="15.7109375" customWidth="1"/>
    <col min="6659" max="6659" width="14" customWidth="1"/>
    <col min="6660" max="6660" width="13" customWidth="1"/>
    <col min="6661" max="6661" width="11.7109375" customWidth="1"/>
    <col min="6662" max="6662" width="12.85546875" customWidth="1"/>
    <col min="6663" max="6663" width="12.42578125" customWidth="1"/>
    <col min="6664" max="6664" width="14.85546875" customWidth="1"/>
    <col min="6913" max="6913" width="85.42578125" customWidth="1"/>
    <col min="6914" max="6914" width="15.7109375" customWidth="1"/>
    <col min="6915" max="6915" width="14" customWidth="1"/>
    <col min="6916" max="6916" width="13" customWidth="1"/>
    <col min="6917" max="6917" width="11.7109375" customWidth="1"/>
    <col min="6918" max="6918" width="12.85546875" customWidth="1"/>
    <col min="6919" max="6919" width="12.42578125" customWidth="1"/>
    <col min="6920" max="6920" width="14.85546875" customWidth="1"/>
    <col min="7169" max="7169" width="85.42578125" customWidth="1"/>
    <col min="7170" max="7170" width="15.7109375" customWidth="1"/>
    <col min="7171" max="7171" width="14" customWidth="1"/>
    <col min="7172" max="7172" width="13" customWidth="1"/>
    <col min="7173" max="7173" width="11.7109375" customWidth="1"/>
    <col min="7174" max="7174" width="12.85546875" customWidth="1"/>
    <col min="7175" max="7175" width="12.42578125" customWidth="1"/>
    <col min="7176" max="7176" width="14.85546875" customWidth="1"/>
    <col min="7425" max="7425" width="85.42578125" customWidth="1"/>
    <col min="7426" max="7426" width="15.7109375" customWidth="1"/>
    <col min="7427" max="7427" width="14" customWidth="1"/>
    <col min="7428" max="7428" width="13" customWidth="1"/>
    <col min="7429" max="7429" width="11.7109375" customWidth="1"/>
    <col min="7430" max="7430" width="12.85546875" customWidth="1"/>
    <col min="7431" max="7431" width="12.42578125" customWidth="1"/>
    <col min="7432" max="7432" width="14.85546875" customWidth="1"/>
    <col min="7681" max="7681" width="85.42578125" customWidth="1"/>
    <col min="7682" max="7682" width="15.7109375" customWidth="1"/>
    <col min="7683" max="7683" width="14" customWidth="1"/>
    <col min="7684" max="7684" width="13" customWidth="1"/>
    <col min="7685" max="7685" width="11.7109375" customWidth="1"/>
    <col min="7686" max="7686" width="12.85546875" customWidth="1"/>
    <col min="7687" max="7687" width="12.42578125" customWidth="1"/>
    <col min="7688" max="7688" width="14.85546875" customWidth="1"/>
    <col min="7937" max="7937" width="85.42578125" customWidth="1"/>
    <col min="7938" max="7938" width="15.7109375" customWidth="1"/>
    <col min="7939" max="7939" width="14" customWidth="1"/>
    <col min="7940" max="7940" width="13" customWidth="1"/>
    <col min="7941" max="7941" width="11.7109375" customWidth="1"/>
    <col min="7942" max="7942" width="12.85546875" customWidth="1"/>
    <col min="7943" max="7943" width="12.42578125" customWidth="1"/>
    <col min="7944" max="7944" width="14.85546875" customWidth="1"/>
    <col min="8193" max="8193" width="85.42578125" customWidth="1"/>
    <col min="8194" max="8194" width="15.7109375" customWidth="1"/>
    <col min="8195" max="8195" width="14" customWidth="1"/>
    <col min="8196" max="8196" width="13" customWidth="1"/>
    <col min="8197" max="8197" width="11.7109375" customWidth="1"/>
    <col min="8198" max="8198" width="12.85546875" customWidth="1"/>
    <col min="8199" max="8199" width="12.42578125" customWidth="1"/>
    <col min="8200" max="8200" width="14.85546875" customWidth="1"/>
    <col min="8449" max="8449" width="85.42578125" customWidth="1"/>
    <col min="8450" max="8450" width="15.7109375" customWidth="1"/>
    <col min="8451" max="8451" width="14" customWidth="1"/>
    <col min="8452" max="8452" width="13" customWidth="1"/>
    <col min="8453" max="8453" width="11.7109375" customWidth="1"/>
    <col min="8454" max="8454" width="12.85546875" customWidth="1"/>
    <col min="8455" max="8455" width="12.42578125" customWidth="1"/>
    <col min="8456" max="8456" width="14.85546875" customWidth="1"/>
    <col min="8705" max="8705" width="85.42578125" customWidth="1"/>
    <col min="8706" max="8706" width="15.7109375" customWidth="1"/>
    <col min="8707" max="8707" width="14" customWidth="1"/>
    <col min="8708" max="8708" width="13" customWidth="1"/>
    <col min="8709" max="8709" width="11.7109375" customWidth="1"/>
    <col min="8710" max="8710" width="12.85546875" customWidth="1"/>
    <col min="8711" max="8711" width="12.42578125" customWidth="1"/>
    <col min="8712" max="8712" width="14.85546875" customWidth="1"/>
    <col min="8961" max="8961" width="85.42578125" customWidth="1"/>
    <col min="8962" max="8962" width="15.7109375" customWidth="1"/>
    <col min="8963" max="8963" width="14" customWidth="1"/>
    <col min="8964" max="8964" width="13" customWidth="1"/>
    <col min="8965" max="8965" width="11.7109375" customWidth="1"/>
    <col min="8966" max="8966" width="12.85546875" customWidth="1"/>
    <col min="8967" max="8967" width="12.42578125" customWidth="1"/>
    <col min="8968" max="8968" width="14.85546875" customWidth="1"/>
    <col min="9217" max="9217" width="85.42578125" customWidth="1"/>
    <col min="9218" max="9218" width="15.7109375" customWidth="1"/>
    <col min="9219" max="9219" width="14" customWidth="1"/>
    <col min="9220" max="9220" width="13" customWidth="1"/>
    <col min="9221" max="9221" width="11.7109375" customWidth="1"/>
    <col min="9222" max="9222" width="12.85546875" customWidth="1"/>
    <col min="9223" max="9223" width="12.42578125" customWidth="1"/>
    <col min="9224" max="9224" width="14.85546875" customWidth="1"/>
    <col min="9473" max="9473" width="85.42578125" customWidth="1"/>
    <col min="9474" max="9474" width="15.7109375" customWidth="1"/>
    <col min="9475" max="9475" width="14" customWidth="1"/>
    <col min="9476" max="9476" width="13" customWidth="1"/>
    <col min="9477" max="9477" width="11.7109375" customWidth="1"/>
    <col min="9478" max="9478" width="12.85546875" customWidth="1"/>
    <col min="9479" max="9479" width="12.42578125" customWidth="1"/>
    <col min="9480" max="9480" width="14.85546875" customWidth="1"/>
    <col min="9729" max="9729" width="85.42578125" customWidth="1"/>
    <col min="9730" max="9730" width="15.7109375" customWidth="1"/>
    <col min="9731" max="9731" width="14" customWidth="1"/>
    <col min="9732" max="9732" width="13" customWidth="1"/>
    <col min="9733" max="9733" width="11.7109375" customWidth="1"/>
    <col min="9734" max="9734" width="12.85546875" customWidth="1"/>
    <col min="9735" max="9735" width="12.42578125" customWidth="1"/>
    <col min="9736" max="9736" width="14.85546875" customWidth="1"/>
    <col min="9985" max="9985" width="85.42578125" customWidth="1"/>
    <col min="9986" max="9986" width="15.7109375" customWidth="1"/>
    <col min="9987" max="9987" width="14" customWidth="1"/>
    <col min="9988" max="9988" width="13" customWidth="1"/>
    <col min="9989" max="9989" width="11.7109375" customWidth="1"/>
    <col min="9990" max="9990" width="12.85546875" customWidth="1"/>
    <col min="9991" max="9991" width="12.42578125" customWidth="1"/>
    <col min="9992" max="9992" width="14.85546875" customWidth="1"/>
    <col min="10241" max="10241" width="85.42578125" customWidth="1"/>
    <col min="10242" max="10242" width="15.7109375" customWidth="1"/>
    <col min="10243" max="10243" width="14" customWidth="1"/>
    <col min="10244" max="10244" width="13" customWidth="1"/>
    <col min="10245" max="10245" width="11.7109375" customWidth="1"/>
    <col min="10246" max="10246" width="12.85546875" customWidth="1"/>
    <col min="10247" max="10247" width="12.42578125" customWidth="1"/>
    <col min="10248" max="10248" width="14.85546875" customWidth="1"/>
    <col min="10497" max="10497" width="85.42578125" customWidth="1"/>
    <col min="10498" max="10498" width="15.7109375" customWidth="1"/>
    <col min="10499" max="10499" width="14" customWidth="1"/>
    <col min="10500" max="10500" width="13" customWidth="1"/>
    <col min="10501" max="10501" width="11.7109375" customWidth="1"/>
    <col min="10502" max="10502" width="12.85546875" customWidth="1"/>
    <col min="10503" max="10503" width="12.42578125" customWidth="1"/>
    <col min="10504" max="10504" width="14.85546875" customWidth="1"/>
    <col min="10753" max="10753" width="85.42578125" customWidth="1"/>
    <col min="10754" max="10754" width="15.7109375" customWidth="1"/>
    <col min="10755" max="10755" width="14" customWidth="1"/>
    <col min="10756" max="10756" width="13" customWidth="1"/>
    <col min="10757" max="10757" width="11.7109375" customWidth="1"/>
    <col min="10758" max="10758" width="12.85546875" customWidth="1"/>
    <col min="10759" max="10759" width="12.42578125" customWidth="1"/>
    <col min="10760" max="10760" width="14.85546875" customWidth="1"/>
    <col min="11009" max="11009" width="85.42578125" customWidth="1"/>
    <col min="11010" max="11010" width="15.7109375" customWidth="1"/>
    <col min="11011" max="11011" width="14" customWidth="1"/>
    <col min="11012" max="11012" width="13" customWidth="1"/>
    <col min="11013" max="11013" width="11.7109375" customWidth="1"/>
    <col min="11014" max="11014" width="12.85546875" customWidth="1"/>
    <col min="11015" max="11015" width="12.42578125" customWidth="1"/>
    <col min="11016" max="11016" width="14.85546875" customWidth="1"/>
    <col min="11265" max="11265" width="85.42578125" customWidth="1"/>
    <col min="11266" max="11266" width="15.7109375" customWidth="1"/>
    <col min="11267" max="11267" width="14" customWidth="1"/>
    <col min="11268" max="11268" width="13" customWidth="1"/>
    <col min="11269" max="11269" width="11.7109375" customWidth="1"/>
    <col min="11270" max="11270" width="12.85546875" customWidth="1"/>
    <col min="11271" max="11271" width="12.42578125" customWidth="1"/>
    <col min="11272" max="11272" width="14.85546875" customWidth="1"/>
    <col min="11521" max="11521" width="85.42578125" customWidth="1"/>
    <col min="11522" max="11522" width="15.7109375" customWidth="1"/>
    <col min="11523" max="11523" width="14" customWidth="1"/>
    <col min="11524" max="11524" width="13" customWidth="1"/>
    <col min="11525" max="11525" width="11.7109375" customWidth="1"/>
    <col min="11526" max="11526" width="12.85546875" customWidth="1"/>
    <col min="11527" max="11527" width="12.42578125" customWidth="1"/>
    <col min="11528" max="11528" width="14.85546875" customWidth="1"/>
    <col min="11777" max="11777" width="85.42578125" customWidth="1"/>
    <col min="11778" max="11778" width="15.7109375" customWidth="1"/>
    <col min="11779" max="11779" width="14" customWidth="1"/>
    <col min="11780" max="11780" width="13" customWidth="1"/>
    <col min="11781" max="11781" width="11.7109375" customWidth="1"/>
    <col min="11782" max="11782" width="12.85546875" customWidth="1"/>
    <col min="11783" max="11783" width="12.42578125" customWidth="1"/>
    <col min="11784" max="11784" width="14.85546875" customWidth="1"/>
    <col min="12033" max="12033" width="85.42578125" customWidth="1"/>
    <col min="12034" max="12034" width="15.7109375" customWidth="1"/>
    <col min="12035" max="12035" width="14" customWidth="1"/>
    <col min="12036" max="12036" width="13" customWidth="1"/>
    <col min="12037" max="12037" width="11.7109375" customWidth="1"/>
    <col min="12038" max="12038" width="12.85546875" customWidth="1"/>
    <col min="12039" max="12039" width="12.42578125" customWidth="1"/>
    <col min="12040" max="12040" width="14.85546875" customWidth="1"/>
    <col min="12289" max="12289" width="85.42578125" customWidth="1"/>
    <col min="12290" max="12290" width="15.7109375" customWidth="1"/>
    <col min="12291" max="12291" width="14" customWidth="1"/>
    <col min="12292" max="12292" width="13" customWidth="1"/>
    <col min="12293" max="12293" width="11.7109375" customWidth="1"/>
    <col min="12294" max="12294" width="12.85546875" customWidth="1"/>
    <col min="12295" max="12295" width="12.42578125" customWidth="1"/>
    <col min="12296" max="12296" width="14.85546875" customWidth="1"/>
    <col min="12545" max="12545" width="85.42578125" customWidth="1"/>
    <col min="12546" max="12546" width="15.7109375" customWidth="1"/>
    <col min="12547" max="12547" width="14" customWidth="1"/>
    <col min="12548" max="12548" width="13" customWidth="1"/>
    <col min="12549" max="12549" width="11.7109375" customWidth="1"/>
    <col min="12550" max="12550" width="12.85546875" customWidth="1"/>
    <col min="12551" max="12551" width="12.42578125" customWidth="1"/>
    <col min="12552" max="12552" width="14.85546875" customWidth="1"/>
    <col min="12801" max="12801" width="85.42578125" customWidth="1"/>
    <col min="12802" max="12802" width="15.7109375" customWidth="1"/>
    <col min="12803" max="12803" width="14" customWidth="1"/>
    <col min="12804" max="12804" width="13" customWidth="1"/>
    <col min="12805" max="12805" width="11.7109375" customWidth="1"/>
    <col min="12806" max="12806" width="12.85546875" customWidth="1"/>
    <col min="12807" max="12807" width="12.42578125" customWidth="1"/>
    <col min="12808" max="12808" width="14.85546875" customWidth="1"/>
    <col min="13057" max="13057" width="85.42578125" customWidth="1"/>
    <col min="13058" max="13058" width="15.7109375" customWidth="1"/>
    <col min="13059" max="13059" width="14" customWidth="1"/>
    <col min="13060" max="13060" width="13" customWidth="1"/>
    <col min="13061" max="13061" width="11.7109375" customWidth="1"/>
    <col min="13062" max="13062" width="12.85546875" customWidth="1"/>
    <col min="13063" max="13063" width="12.42578125" customWidth="1"/>
    <col min="13064" max="13064" width="14.85546875" customWidth="1"/>
    <col min="13313" max="13313" width="85.42578125" customWidth="1"/>
    <col min="13314" max="13314" width="15.7109375" customWidth="1"/>
    <col min="13315" max="13315" width="14" customWidth="1"/>
    <col min="13316" max="13316" width="13" customWidth="1"/>
    <col min="13317" max="13317" width="11.7109375" customWidth="1"/>
    <col min="13318" max="13318" width="12.85546875" customWidth="1"/>
    <col min="13319" max="13319" width="12.42578125" customWidth="1"/>
    <col min="13320" max="13320" width="14.85546875" customWidth="1"/>
    <col min="13569" max="13569" width="85.42578125" customWidth="1"/>
    <col min="13570" max="13570" width="15.7109375" customWidth="1"/>
    <col min="13571" max="13571" width="14" customWidth="1"/>
    <col min="13572" max="13572" width="13" customWidth="1"/>
    <col min="13573" max="13573" width="11.7109375" customWidth="1"/>
    <col min="13574" max="13574" width="12.85546875" customWidth="1"/>
    <col min="13575" max="13575" width="12.42578125" customWidth="1"/>
    <col min="13576" max="13576" width="14.85546875" customWidth="1"/>
    <col min="13825" max="13825" width="85.42578125" customWidth="1"/>
    <col min="13826" max="13826" width="15.7109375" customWidth="1"/>
    <col min="13827" max="13827" width="14" customWidth="1"/>
    <col min="13828" max="13828" width="13" customWidth="1"/>
    <col min="13829" max="13829" width="11.7109375" customWidth="1"/>
    <col min="13830" max="13830" width="12.85546875" customWidth="1"/>
    <col min="13831" max="13831" width="12.42578125" customWidth="1"/>
    <col min="13832" max="13832" width="14.85546875" customWidth="1"/>
    <col min="14081" max="14081" width="85.42578125" customWidth="1"/>
    <col min="14082" max="14082" width="15.7109375" customWidth="1"/>
    <col min="14083" max="14083" width="14" customWidth="1"/>
    <col min="14084" max="14084" width="13" customWidth="1"/>
    <col min="14085" max="14085" width="11.7109375" customWidth="1"/>
    <col min="14086" max="14086" width="12.85546875" customWidth="1"/>
    <col min="14087" max="14087" width="12.42578125" customWidth="1"/>
    <col min="14088" max="14088" width="14.85546875" customWidth="1"/>
    <col min="14337" max="14337" width="85.42578125" customWidth="1"/>
    <col min="14338" max="14338" width="15.7109375" customWidth="1"/>
    <col min="14339" max="14339" width="14" customWidth="1"/>
    <col min="14340" max="14340" width="13" customWidth="1"/>
    <col min="14341" max="14341" width="11.7109375" customWidth="1"/>
    <col min="14342" max="14342" width="12.85546875" customWidth="1"/>
    <col min="14343" max="14343" width="12.42578125" customWidth="1"/>
    <col min="14344" max="14344" width="14.85546875" customWidth="1"/>
    <col min="14593" max="14593" width="85.42578125" customWidth="1"/>
    <col min="14594" max="14594" width="15.7109375" customWidth="1"/>
    <col min="14595" max="14595" width="14" customWidth="1"/>
    <col min="14596" max="14596" width="13" customWidth="1"/>
    <col min="14597" max="14597" width="11.7109375" customWidth="1"/>
    <col min="14598" max="14598" width="12.85546875" customWidth="1"/>
    <col min="14599" max="14599" width="12.42578125" customWidth="1"/>
    <col min="14600" max="14600" width="14.85546875" customWidth="1"/>
    <col min="14849" max="14849" width="85.42578125" customWidth="1"/>
    <col min="14850" max="14850" width="15.7109375" customWidth="1"/>
    <col min="14851" max="14851" width="14" customWidth="1"/>
    <col min="14852" max="14852" width="13" customWidth="1"/>
    <col min="14853" max="14853" width="11.7109375" customWidth="1"/>
    <col min="14854" max="14854" width="12.85546875" customWidth="1"/>
    <col min="14855" max="14855" width="12.42578125" customWidth="1"/>
    <col min="14856" max="14856" width="14.85546875" customWidth="1"/>
    <col min="15105" max="15105" width="85.42578125" customWidth="1"/>
    <col min="15106" max="15106" width="15.7109375" customWidth="1"/>
    <col min="15107" max="15107" width="14" customWidth="1"/>
    <col min="15108" max="15108" width="13" customWidth="1"/>
    <col min="15109" max="15109" width="11.7109375" customWidth="1"/>
    <col min="15110" max="15110" width="12.85546875" customWidth="1"/>
    <col min="15111" max="15111" width="12.42578125" customWidth="1"/>
    <col min="15112" max="15112" width="14.85546875" customWidth="1"/>
    <col min="15361" max="15361" width="85.42578125" customWidth="1"/>
    <col min="15362" max="15362" width="15.7109375" customWidth="1"/>
    <col min="15363" max="15363" width="14" customWidth="1"/>
    <col min="15364" max="15364" width="13" customWidth="1"/>
    <col min="15365" max="15365" width="11.7109375" customWidth="1"/>
    <col min="15366" max="15366" width="12.85546875" customWidth="1"/>
    <col min="15367" max="15367" width="12.42578125" customWidth="1"/>
    <col min="15368" max="15368" width="14.85546875" customWidth="1"/>
    <col min="15617" max="15617" width="85.42578125" customWidth="1"/>
    <col min="15618" max="15618" width="15.7109375" customWidth="1"/>
    <col min="15619" max="15619" width="14" customWidth="1"/>
    <col min="15620" max="15620" width="13" customWidth="1"/>
    <col min="15621" max="15621" width="11.7109375" customWidth="1"/>
    <col min="15622" max="15622" width="12.85546875" customWidth="1"/>
    <col min="15623" max="15623" width="12.42578125" customWidth="1"/>
    <col min="15624" max="15624" width="14.85546875" customWidth="1"/>
    <col min="15873" max="15873" width="85.42578125" customWidth="1"/>
    <col min="15874" max="15874" width="15.7109375" customWidth="1"/>
    <col min="15875" max="15875" width="14" customWidth="1"/>
    <col min="15876" max="15876" width="13" customWidth="1"/>
    <col min="15877" max="15877" width="11.7109375" customWidth="1"/>
    <col min="15878" max="15878" width="12.85546875" customWidth="1"/>
    <col min="15879" max="15879" width="12.42578125" customWidth="1"/>
    <col min="15880" max="15880" width="14.85546875" customWidth="1"/>
    <col min="16129" max="16129" width="85.42578125" customWidth="1"/>
    <col min="16130" max="16130" width="15.7109375" customWidth="1"/>
    <col min="16131" max="16131" width="14" customWidth="1"/>
    <col min="16132" max="16132" width="13" customWidth="1"/>
    <col min="16133" max="16133" width="11.7109375" customWidth="1"/>
    <col min="16134" max="16134" width="12.85546875" customWidth="1"/>
    <col min="16135" max="16135" width="12.42578125" customWidth="1"/>
    <col min="16136" max="16136" width="14.85546875" customWidth="1"/>
  </cols>
  <sheetData>
    <row r="1" spans="1:8" ht="18" x14ac:dyDescent="0.25">
      <c r="A1" s="1" t="s">
        <v>370</v>
      </c>
    </row>
    <row r="2" spans="1:8" ht="15.75" x14ac:dyDescent="0.25">
      <c r="A2" s="528" t="s">
        <v>371</v>
      </c>
      <c r="B2" s="529"/>
      <c r="C2" s="529"/>
      <c r="D2" s="529"/>
      <c r="E2" s="529"/>
      <c r="F2" s="529"/>
      <c r="G2" s="529"/>
      <c r="H2" s="529"/>
    </row>
    <row r="3" spans="1:8" ht="15.75" x14ac:dyDescent="0.25">
      <c r="A3" s="528" t="s">
        <v>372</v>
      </c>
      <c r="B3" s="529"/>
      <c r="C3" s="529"/>
      <c r="D3" s="529"/>
      <c r="E3" s="529"/>
      <c r="F3" s="529"/>
      <c r="G3" s="529"/>
      <c r="H3" s="529"/>
    </row>
    <row r="4" spans="1:8" x14ac:dyDescent="0.25">
      <c r="A4" s="2" t="s">
        <v>0</v>
      </c>
    </row>
    <row r="6" spans="1:8" ht="44.25" thickBot="1" x14ac:dyDescent="0.3">
      <c r="A6" s="3" t="s">
        <v>1</v>
      </c>
      <c r="B6" s="459"/>
      <c r="C6" s="459"/>
      <c r="D6" s="530" t="s">
        <v>7</v>
      </c>
      <c r="E6" s="530" t="s">
        <v>4</v>
      </c>
      <c r="F6" s="459"/>
      <c r="G6" s="459"/>
      <c r="H6" s="464"/>
    </row>
    <row r="7" spans="1:8" x14ac:dyDescent="0.25">
      <c r="A7" s="9"/>
      <c r="B7" s="14" t="s">
        <v>8</v>
      </c>
      <c r="C7" s="14" t="s">
        <v>9</v>
      </c>
      <c r="D7" s="531"/>
      <c r="E7" s="531"/>
      <c r="F7" s="14" t="s">
        <v>10</v>
      </c>
      <c r="G7" s="14" t="s">
        <v>11</v>
      </c>
      <c r="H7" s="17" t="s">
        <v>12</v>
      </c>
    </row>
    <row r="8" spans="1:8" x14ac:dyDescent="0.25">
      <c r="A8" s="9"/>
      <c r="B8" s="14" t="s">
        <v>13</v>
      </c>
      <c r="C8" s="14" t="s">
        <v>14</v>
      </c>
      <c r="D8" s="531">
        <v>1</v>
      </c>
      <c r="E8" s="531">
        <v>2</v>
      </c>
      <c r="F8" s="14" t="s">
        <v>15</v>
      </c>
      <c r="G8" s="14" t="s">
        <v>16</v>
      </c>
      <c r="H8" s="17" t="s">
        <v>17</v>
      </c>
    </row>
    <row r="9" spans="1:8" ht="15.75" thickBot="1" x14ac:dyDescent="0.3">
      <c r="A9" s="9"/>
      <c r="B9" s="14"/>
      <c r="C9" s="14"/>
      <c r="D9" s="531"/>
      <c r="E9" s="531"/>
      <c r="F9" s="14">
        <v>2016</v>
      </c>
      <c r="G9" s="14" t="s">
        <v>18</v>
      </c>
      <c r="H9" s="17">
        <v>2016</v>
      </c>
    </row>
    <row r="10" spans="1:8" x14ac:dyDescent="0.25">
      <c r="A10" s="19" t="s">
        <v>19</v>
      </c>
      <c r="B10" s="20"/>
      <c r="C10" s="20"/>
      <c r="D10" s="20"/>
      <c r="E10" s="20"/>
      <c r="F10" s="20"/>
      <c r="G10" s="20"/>
      <c r="H10" s="24"/>
    </row>
    <row r="11" spans="1:8" x14ac:dyDescent="0.25">
      <c r="A11" s="25" t="s">
        <v>20</v>
      </c>
      <c r="B11" s="560">
        <v>165232000</v>
      </c>
      <c r="C11" s="560">
        <v>165232000</v>
      </c>
      <c r="D11" s="562">
        <v>-3388885</v>
      </c>
      <c r="E11" s="562">
        <v>7000</v>
      </c>
      <c r="F11" s="560">
        <v>-3381885</v>
      </c>
      <c r="G11" s="560">
        <v>-3381885</v>
      </c>
      <c r="H11" s="563">
        <v>161850115</v>
      </c>
    </row>
    <row r="12" spans="1:8" x14ac:dyDescent="0.25">
      <c r="A12" s="25" t="s">
        <v>21</v>
      </c>
      <c r="B12" s="560"/>
      <c r="C12" s="560"/>
      <c r="D12" s="562"/>
      <c r="E12" s="562"/>
      <c r="F12" s="560"/>
      <c r="G12" s="560"/>
      <c r="H12" s="563"/>
    </row>
    <row r="13" spans="1:8" x14ac:dyDescent="0.25">
      <c r="A13" s="26" t="s">
        <v>22</v>
      </c>
      <c r="B13" s="564">
        <v>165232000</v>
      </c>
      <c r="C13" s="564">
        <v>165232000</v>
      </c>
      <c r="D13" s="577">
        <v>-3388885</v>
      </c>
      <c r="E13" s="577">
        <v>7000</v>
      </c>
      <c r="F13" s="565">
        <v>-3381885</v>
      </c>
      <c r="G13" s="565">
        <v>-3381885</v>
      </c>
      <c r="H13" s="568">
        <v>161850115</v>
      </c>
    </row>
    <row r="14" spans="1:8" x14ac:dyDescent="0.25">
      <c r="A14" s="26" t="s">
        <v>373</v>
      </c>
      <c r="B14" s="564">
        <v>110000000</v>
      </c>
      <c r="C14" s="564">
        <v>110000000</v>
      </c>
      <c r="D14" s="577"/>
      <c r="E14" s="577"/>
      <c r="F14" s="565">
        <v>0</v>
      </c>
      <c r="G14" s="565">
        <v>0</v>
      </c>
      <c r="H14" s="568">
        <v>110000000</v>
      </c>
    </row>
    <row r="15" spans="1:8" x14ac:dyDescent="0.25">
      <c r="A15" s="26" t="s">
        <v>374</v>
      </c>
      <c r="B15" s="564">
        <v>15029000</v>
      </c>
      <c r="C15" s="564">
        <v>15029000</v>
      </c>
      <c r="D15" s="577"/>
      <c r="E15" s="577">
        <v>3000</v>
      </c>
      <c r="F15" s="565">
        <v>3000</v>
      </c>
      <c r="G15" s="565">
        <v>3000</v>
      </c>
      <c r="H15" s="568">
        <v>15032000</v>
      </c>
    </row>
    <row r="16" spans="1:8" x14ac:dyDescent="0.25">
      <c r="A16" s="26" t="s">
        <v>375</v>
      </c>
      <c r="B16" s="564">
        <v>8134000</v>
      </c>
      <c r="C16" s="564">
        <v>8134000</v>
      </c>
      <c r="D16" s="577"/>
      <c r="E16" s="577">
        <v>750</v>
      </c>
      <c r="F16" s="565">
        <v>750</v>
      </c>
      <c r="G16" s="565">
        <v>750</v>
      </c>
      <c r="H16" s="568">
        <v>8134750</v>
      </c>
    </row>
    <row r="17" spans="1:8" x14ac:dyDescent="0.25">
      <c r="A17" s="26" t="s">
        <v>376</v>
      </c>
      <c r="B17" s="564">
        <v>12196000</v>
      </c>
      <c r="C17" s="564">
        <v>12196000</v>
      </c>
      <c r="D17" s="577"/>
      <c r="E17" s="577">
        <v>1500</v>
      </c>
      <c r="F17" s="565">
        <v>1500</v>
      </c>
      <c r="G17" s="565">
        <v>1500</v>
      </c>
      <c r="H17" s="568">
        <v>12197500</v>
      </c>
    </row>
    <row r="18" spans="1:8" x14ac:dyDescent="0.25">
      <c r="A18" s="26" t="s">
        <v>377</v>
      </c>
      <c r="B18" s="564">
        <v>19873000</v>
      </c>
      <c r="C18" s="564">
        <v>19873000</v>
      </c>
      <c r="D18" s="577"/>
      <c r="E18" s="577">
        <v>1750</v>
      </c>
      <c r="F18" s="565">
        <v>1750</v>
      </c>
      <c r="G18" s="565">
        <v>1750</v>
      </c>
      <c r="H18" s="568">
        <v>19874750</v>
      </c>
    </row>
    <row r="19" spans="1:8" x14ac:dyDescent="0.25">
      <c r="A19" s="28" t="s">
        <v>29</v>
      </c>
      <c r="B19" s="560"/>
      <c r="C19" s="560"/>
      <c r="D19" s="560"/>
      <c r="E19" s="560"/>
      <c r="F19" s="565"/>
      <c r="G19" s="565"/>
      <c r="H19" s="568"/>
    </row>
    <row r="20" spans="1:8" x14ac:dyDescent="0.25">
      <c r="A20" s="26" t="s">
        <v>30</v>
      </c>
      <c r="B20" s="564">
        <v>378885</v>
      </c>
      <c r="C20" s="564">
        <v>378885</v>
      </c>
      <c r="D20" s="566">
        <v>-278885</v>
      </c>
      <c r="E20" s="577"/>
      <c r="F20" s="565">
        <v>-278885</v>
      </c>
      <c r="G20" s="565">
        <v>-278885</v>
      </c>
      <c r="H20" s="568">
        <v>100000</v>
      </c>
    </row>
    <row r="21" spans="1:8" x14ac:dyDescent="0.25">
      <c r="A21" s="26" t="s">
        <v>31</v>
      </c>
      <c r="B21" s="564">
        <v>9115000</v>
      </c>
      <c r="C21" s="564">
        <v>9115000</v>
      </c>
      <c r="D21" s="577">
        <v>-475000</v>
      </c>
      <c r="E21" s="577"/>
      <c r="F21" s="565">
        <v>-475000</v>
      </c>
      <c r="G21" s="565">
        <v>-475000</v>
      </c>
      <c r="H21" s="568">
        <v>8640000</v>
      </c>
    </row>
    <row r="22" spans="1:8" x14ac:dyDescent="0.25">
      <c r="A22" s="26" t="s">
        <v>32</v>
      </c>
      <c r="B22" s="564">
        <v>1534000</v>
      </c>
      <c r="C22" s="564">
        <v>1534000</v>
      </c>
      <c r="D22" s="577">
        <v>-134000</v>
      </c>
      <c r="E22" s="577"/>
      <c r="F22" s="565">
        <v>-134000</v>
      </c>
      <c r="G22" s="565">
        <v>-134000</v>
      </c>
      <c r="H22" s="568">
        <v>1400000</v>
      </c>
    </row>
    <row r="23" spans="1:8" x14ac:dyDescent="0.25">
      <c r="A23" s="26" t="s">
        <v>33</v>
      </c>
      <c r="B23" s="564">
        <v>7581000</v>
      </c>
      <c r="C23" s="564">
        <v>7581000</v>
      </c>
      <c r="D23" s="577">
        <v>-341000</v>
      </c>
      <c r="E23" s="577"/>
      <c r="F23" s="565">
        <v>-341000</v>
      </c>
      <c r="G23" s="565">
        <v>-341000</v>
      </c>
      <c r="H23" s="568">
        <v>7240000</v>
      </c>
    </row>
    <row r="24" spans="1:8" x14ac:dyDescent="0.25">
      <c r="A24" s="26" t="s">
        <v>34</v>
      </c>
      <c r="B24" s="564">
        <v>1435000</v>
      </c>
      <c r="C24" s="564">
        <v>1435000</v>
      </c>
      <c r="D24" s="577">
        <v>-46000</v>
      </c>
      <c r="E24" s="577"/>
      <c r="F24" s="565">
        <v>-46000</v>
      </c>
      <c r="G24" s="565">
        <v>-46000</v>
      </c>
      <c r="H24" s="568">
        <v>1389000</v>
      </c>
    </row>
    <row r="25" spans="1:8" x14ac:dyDescent="0.25">
      <c r="A25" s="26" t="s">
        <v>35</v>
      </c>
      <c r="B25" s="564">
        <v>18000</v>
      </c>
      <c r="C25" s="564">
        <v>18000</v>
      </c>
      <c r="D25" s="577">
        <v>-1000</v>
      </c>
      <c r="E25" s="577">
        <v>7000</v>
      </c>
      <c r="F25" s="565">
        <v>6000</v>
      </c>
      <c r="G25" s="565">
        <v>6000</v>
      </c>
      <c r="H25" s="568">
        <v>24000</v>
      </c>
    </row>
    <row r="26" spans="1:8" x14ac:dyDescent="0.25">
      <c r="A26" s="26" t="s">
        <v>36</v>
      </c>
      <c r="B26" s="564">
        <v>47649000</v>
      </c>
      <c r="C26" s="564">
        <v>47649000</v>
      </c>
      <c r="D26" s="566">
        <v>-2113000</v>
      </c>
      <c r="E26" s="577"/>
      <c r="F26" s="565">
        <v>-2113000</v>
      </c>
      <c r="G26" s="565">
        <v>-2113000</v>
      </c>
      <c r="H26" s="568">
        <v>45536000</v>
      </c>
    </row>
    <row r="27" spans="1:8" x14ac:dyDescent="0.25">
      <c r="A27" s="26" t="s">
        <v>37</v>
      </c>
      <c r="B27" s="578">
        <v>2</v>
      </c>
      <c r="C27" s="578">
        <v>2</v>
      </c>
      <c r="D27" s="579"/>
      <c r="E27" s="579"/>
      <c r="F27" s="580">
        <v>0</v>
      </c>
      <c r="G27" s="580">
        <v>0</v>
      </c>
      <c r="H27" s="581">
        <v>2</v>
      </c>
    </row>
    <row r="28" spans="1:8" x14ac:dyDescent="0.25">
      <c r="A28" s="26" t="s">
        <v>39</v>
      </c>
      <c r="B28" s="564">
        <v>109550000</v>
      </c>
      <c r="C28" s="564">
        <v>109550000</v>
      </c>
      <c r="D28" s="577"/>
      <c r="E28" s="577"/>
      <c r="F28" s="565">
        <v>0</v>
      </c>
      <c r="G28" s="565">
        <v>0</v>
      </c>
      <c r="H28" s="568">
        <v>109550000</v>
      </c>
    </row>
  </sheetData>
  <printOptions horizontalCentered="1"/>
  <pageMargins left="0.70866141732283472" right="0.70866141732283472" top="0.78740157480314965" bottom="0.78740157480314965" header="0.51181102362204722" footer="0.31496062992125984"/>
  <pageSetup paperSize="9" scale="72" orientation="landscape" r:id="rId1"/>
  <headerFooter alignWithMargins="0">
    <oddHeader>&amp;RKapitola C.VI
&amp;"-,Tučné"Tabulka č.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C.VI.1</vt:lpstr>
      <vt:lpstr>C.VI.1a</vt:lpstr>
      <vt:lpstr>C.VI.1b</vt:lpstr>
      <vt:lpstr>C.VI.1c</vt:lpstr>
      <vt:lpstr>C.VI.1d</vt:lpstr>
      <vt:lpstr>C.VI.1e</vt:lpstr>
      <vt:lpstr>C.VI.2</vt:lpstr>
      <vt:lpstr>C.VI.2a</vt:lpstr>
      <vt:lpstr>C.VI.3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Palivcová Markéta</dc:creator>
  <cp:lastModifiedBy>Palivcová Markéta</cp:lastModifiedBy>
  <cp:lastPrinted>2016-03-04T10:55:59Z</cp:lastPrinted>
  <dcterms:created xsi:type="dcterms:W3CDTF">2016-03-01T07:37:53Z</dcterms:created>
  <dcterms:modified xsi:type="dcterms:W3CDTF">2016-03-29T06:51:25Z</dcterms:modified>
</cp:coreProperties>
</file>